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videos\parciales\"/>
    </mc:Choice>
  </mc:AlternateContent>
  <xr:revisionPtr revIDLastSave="0" documentId="8_{43EFA229-FCF6-4DBF-957B-22A86BCAD2B3}" xr6:coauthVersionLast="47" xr6:coauthVersionMax="47" xr10:uidLastSave="{00000000-0000-0000-0000-000000000000}"/>
  <bookViews>
    <workbookView xWindow="-103" yWindow="-103" windowWidth="19406" windowHeight="11486" activeTab="3" xr2:uid="{6338BA98-8BB2-4D45-AAA7-AF6FF412EA75}"/>
  </bookViews>
  <sheets>
    <sheet name="Datos" sheetId="2" r:id="rId1"/>
    <sheet name="ECONÓMICO" sheetId="1" r:id="rId2"/>
    <sheet name="FINANCIERO" sheetId="3" r:id="rId3"/>
    <sheet name="Pasivo + P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14" i="4" s="1"/>
  <c r="D4" i="2"/>
  <c r="C4" i="2"/>
  <c r="E10" i="4"/>
  <c r="A32" i="1"/>
  <c r="A31" i="1"/>
  <c r="H16" i="3"/>
  <c r="E8" i="4"/>
  <c r="I19" i="4"/>
  <c r="I18" i="4"/>
  <c r="I17" i="4"/>
  <c r="I16" i="4"/>
  <c r="I15" i="4"/>
  <c r="I14" i="4"/>
  <c r="I1" i="4"/>
  <c r="I13" i="4"/>
  <c r="K13" i="3"/>
  <c r="B13" i="4"/>
  <c r="G18" i="1"/>
  <c r="F18" i="1"/>
  <c r="E18" i="1"/>
  <c r="D18" i="1"/>
  <c r="H18" i="1"/>
  <c r="B9" i="4" s="1"/>
  <c r="E21" i="1"/>
  <c r="I27" i="1"/>
  <c r="F17" i="3" s="1"/>
  <c r="B7" i="4"/>
  <c r="B6" i="4"/>
  <c r="K8" i="4"/>
  <c r="I16" i="3"/>
  <c r="G16" i="3"/>
  <c r="F16" i="3"/>
  <c r="E16" i="3"/>
  <c r="D16" i="3"/>
  <c r="C20" i="1"/>
  <c r="E33" i="1"/>
  <c r="E32" i="1"/>
  <c r="E31" i="1"/>
  <c r="E30" i="1"/>
  <c r="C17" i="1"/>
  <c r="B17" i="1"/>
  <c r="H17" i="1"/>
  <c r="G16" i="1"/>
  <c r="F16" i="1"/>
  <c r="E16" i="1"/>
  <c r="D16" i="1"/>
  <c r="C16" i="1"/>
  <c r="B16" i="1"/>
  <c r="H16" i="1" s="1"/>
  <c r="E29" i="1"/>
  <c r="B30" i="1"/>
  <c r="E28" i="1"/>
  <c r="B29" i="1"/>
  <c r="B11" i="4"/>
  <c r="G19" i="1"/>
  <c r="F19" i="1"/>
  <c r="E19" i="1"/>
  <c r="D19" i="1"/>
  <c r="C19" i="1"/>
  <c r="H19" i="1" s="1"/>
  <c r="B19" i="1"/>
  <c r="E6" i="4"/>
  <c r="G15" i="1"/>
  <c r="G34" i="3"/>
  <c r="G14" i="1"/>
  <c r="I23" i="3"/>
  <c r="E4" i="4" s="1"/>
  <c r="G23" i="3"/>
  <c r="F23" i="3"/>
  <c r="E23" i="3"/>
  <c r="D23" i="3"/>
  <c r="C23" i="3"/>
  <c r="I33" i="3"/>
  <c r="G33" i="3"/>
  <c r="F33" i="3"/>
  <c r="E11" i="1"/>
  <c r="H11" i="1" s="1"/>
  <c r="E15" i="3"/>
  <c r="E32" i="3" s="1"/>
  <c r="B21" i="3"/>
  <c r="G9" i="1"/>
  <c r="I21" i="3" s="1"/>
  <c r="E7" i="4" s="1"/>
  <c r="F9" i="1"/>
  <c r="G21" i="3" s="1"/>
  <c r="E9" i="1"/>
  <c r="F21" i="3" s="1"/>
  <c r="D9" i="1"/>
  <c r="E21" i="3" s="1"/>
  <c r="C9" i="1"/>
  <c r="D21" i="3" s="1"/>
  <c r="B9" i="1"/>
  <c r="B22" i="3"/>
  <c r="H22" i="1"/>
  <c r="H21" i="1"/>
  <c r="H20" i="1"/>
  <c r="H15" i="1"/>
  <c r="H14" i="1"/>
  <c r="H13" i="1"/>
  <c r="H12" i="1"/>
  <c r="A31" i="3"/>
  <c r="A30" i="3"/>
  <c r="A29" i="3"/>
  <c r="A28" i="3"/>
  <c r="A27" i="3"/>
  <c r="A26" i="3"/>
  <c r="A25" i="3"/>
  <c r="A24" i="3"/>
  <c r="A14" i="3"/>
  <c r="A13" i="3"/>
  <c r="A12" i="3"/>
  <c r="A11" i="3"/>
  <c r="A10" i="3"/>
  <c r="A9" i="3"/>
  <c r="A8" i="3"/>
  <c r="A7" i="3"/>
  <c r="T20" i="3"/>
  <c r="O20" i="3" s="1"/>
  <c r="E13" i="4"/>
  <c r="B10" i="4"/>
  <c r="H37" i="3"/>
  <c r="H14" i="3"/>
  <c r="B11" i="2"/>
  <c r="H9" i="2"/>
  <c r="F18" i="3"/>
  <c r="G18" i="3"/>
  <c r="M37" i="3"/>
  <c r="M36" i="3"/>
  <c r="I14" i="3" s="1"/>
  <c r="L36" i="3"/>
  <c r="M35" i="3"/>
  <c r="L35" i="3"/>
  <c r="M34" i="3"/>
  <c r="L34" i="3"/>
  <c r="M33" i="3"/>
  <c r="L33" i="3"/>
  <c r="M32" i="3"/>
  <c r="L32" i="3"/>
  <c r="M31" i="3"/>
  <c r="L31" i="3"/>
  <c r="M29" i="3"/>
  <c r="L29" i="3"/>
  <c r="M26" i="3"/>
  <c r="B7" i="3" s="1"/>
  <c r="L26" i="3"/>
  <c r="U8" i="3"/>
  <c r="L24" i="3"/>
  <c r="M23" i="3"/>
  <c r="N23" i="3" s="1"/>
  <c r="U7" i="3" s="1"/>
  <c r="L23" i="3"/>
  <c r="M22" i="3"/>
  <c r="N22" i="3" s="1"/>
  <c r="U6" i="3" s="1"/>
  <c r="L22" i="3"/>
  <c r="M21" i="3"/>
  <c r="N21" i="3" s="1"/>
  <c r="U5" i="3" s="1"/>
  <c r="L21" i="3"/>
  <c r="H6" i="3"/>
  <c r="B25" i="1"/>
  <c r="G5" i="1"/>
  <c r="G6" i="1" s="1"/>
  <c r="G7" i="1" s="1"/>
  <c r="G10" i="1" s="1"/>
  <c r="I22" i="3" s="1"/>
  <c r="E9" i="4" s="1"/>
  <c r="F5" i="1"/>
  <c r="E5" i="1"/>
  <c r="D5" i="1"/>
  <c r="H19" i="2"/>
  <c r="K3" i="4"/>
  <c r="B5" i="3"/>
  <c r="C5" i="1"/>
  <c r="C6" i="1" s="1"/>
  <c r="B5" i="1"/>
  <c r="B6" i="1" s="1"/>
  <c r="E24" i="2"/>
  <c r="C21" i="3" l="1"/>
  <c r="H9" i="1"/>
  <c r="I13" i="3"/>
  <c r="G13" i="3"/>
  <c r="G12" i="3"/>
  <c r="F12" i="3"/>
  <c r="F11" i="3"/>
  <c r="E11" i="3"/>
  <c r="E10" i="3"/>
  <c r="D10" i="3"/>
  <c r="D9" i="3"/>
  <c r="C9" i="3"/>
  <c r="C8" i="3"/>
  <c r="B8" i="3"/>
  <c r="G23" i="1"/>
  <c r="F19" i="3"/>
  <c r="H13" i="3"/>
  <c r="H21" i="3"/>
  <c r="H23" i="3"/>
  <c r="N37" i="3"/>
  <c r="N30" i="3"/>
  <c r="H15" i="3"/>
  <c r="N36" i="3"/>
  <c r="N35" i="3"/>
  <c r="N34" i="3"/>
  <c r="N33" i="3"/>
  <c r="N32" i="3"/>
  <c r="H10" i="3"/>
  <c r="N31" i="3"/>
  <c r="C25" i="3" s="1"/>
  <c r="N29" i="3"/>
  <c r="B24" i="3" s="1"/>
  <c r="N26" i="3"/>
  <c r="U9" i="3" s="1"/>
  <c r="F6" i="1"/>
  <c r="F7" i="1" s="1"/>
  <c r="F10" i="1" s="1"/>
  <c r="G22" i="3" s="1"/>
  <c r="E6" i="1"/>
  <c r="E7" i="1" s="1"/>
  <c r="E10" i="1" s="1"/>
  <c r="F22" i="3" s="1"/>
  <c r="D6" i="1"/>
  <c r="C7" i="1"/>
  <c r="C10" i="1" s="1"/>
  <c r="D22" i="3" s="1"/>
  <c r="H5" i="3"/>
  <c r="B7" i="1"/>
  <c r="B10" i="1" s="1"/>
  <c r="H5" i="1"/>
  <c r="I31" i="3" l="1"/>
  <c r="G31" i="3"/>
  <c r="I30" i="3"/>
  <c r="F30" i="3"/>
  <c r="G29" i="3"/>
  <c r="E29" i="3"/>
  <c r="F28" i="3"/>
  <c r="F38" i="3" s="1"/>
  <c r="D28" i="3"/>
  <c r="H28" i="3" s="1"/>
  <c r="E27" i="3"/>
  <c r="C27" i="3"/>
  <c r="D26" i="3"/>
  <c r="D38" i="3" s="1"/>
  <c r="B26" i="3"/>
  <c r="H24" i="3"/>
  <c r="B38" i="3"/>
  <c r="C22" i="3"/>
  <c r="C38" i="3" s="1"/>
  <c r="H25" i="3"/>
  <c r="G38" i="3"/>
  <c r="U18" i="3"/>
  <c r="H26" i="3"/>
  <c r="H12" i="3"/>
  <c r="B19" i="3"/>
  <c r="B39" i="3" s="1"/>
  <c r="H35" i="3"/>
  <c r="U16" i="3"/>
  <c r="U15" i="3"/>
  <c r="U14" i="3"/>
  <c r="U12" i="3"/>
  <c r="U11" i="3"/>
  <c r="K4" i="4" s="1"/>
  <c r="K5" i="4" s="1"/>
  <c r="K6" i="4" s="1"/>
  <c r="K7" i="4" s="1"/>
  <c r="C45" i="3"/>
  <c r="H29" i="3"/>
  <c r="H9" i="3"/>
  <c r="U17" i="3"/>
  <c r="U10" i="3"/>
  <c r="H6" i="1"/>
  <c r="D7" i="1"/>
  <c r="D10" i="1" s="1"/>
  <c r="H18" i="3"/>
  <c r="H11" i="3"/>
  <c r="B23" i="1"/>
  <c r="H10" i="1" l="1"/>
  <c r="E22" i="3"/>
  <c r="H27" i="3"/>
  <c r="K9" i="4"/>
  <c r="B5" i="4" s="1"/>
  <c r="H36" i="3"/>
  <c r="C23" i="1"/>
  <c r="C19" i="3"/>
  <c r="C39" i="3" s="1"/>
  <c r="H8" i="3"/>
  <c r="H30" i="3"/>
  <c r="H32" i="3"/>
  <c r="B40" i="3"/>
  <c r="H7" i="1"/>
  <c r="E38" i="3" l="1"/>
  <c r="H22" i="3"/>
  <c r="I39" i="3"/>
  <c r="C40" i="3"/>
  <c r="H34" i="3"/>
  <c r="H33" i="3"/>
  <c r="H31" i="3"/>
  <c r="H38" i="3" s="1"/>
  <c r="H7" i="3"/>
  <c r="E23" i="1" l="1"/>
  <c r="F23" i="1" l="1"/>
  <c r="E19" i="3" l="1"/>
  <c r="E39" i="3" s="1"/>
  <c r="D19" i="3"/>
  <c r="D39" i="3" s="1"/>
  <c r="D40" i="3" s="1"/>
  <c r="D23" i="1"/>
  <c r="H23" i="1" s="1"/>
  <c r="E14" i="4" s="1"/>
  <c r="E15" i="4" s="1"/>
  <c r="E17" i="4" s="1"/>
  <c r="G19" i="3" l="1"/>
  <c r="G39" i="3" s="1"/>
  <c r="F39" i="3"/>
  <c r="H17" i="3"/>
  <c r="H19" i="3" s="1"/>
  <c r="H39" i="3" s="1"/>
  <c r="B3" i="4" s="1"/>
  <c r="E40" i="3"/>
  <c r="A16" i="4" l="1"/>
  <c r="F40" i="3"/>
  <c r="G40" i="3" s="1"/>
  <c r="B19" i="4" l="1"/>
</calcChain>
</file>

<file path=xl/sharedStrings.xml><?xml version="1.0" encoding="utf-8"?>
<sst xmlns="http://schemas.openxmlformats.org/spreadsheetml/2006/main" count="268" uniqueCount="175">
  <si>
    <t>CONCEPTO</t>
  </si>
  <si>
    <t>MESES</t>
  </si>
  <si>
    <t>TOTAL</t>
  </si>
  <si>
    <t>Presupuesto VENTAS</t>
  </si>
  <si>
    <t>Presupuesto COSTO de VENTAS</t>
  </si>
  <si>
    <t>Contribución Marginal</t>
  </si>
  <si>
    <t>INGRESOS</t>
  </si>
  <si>
    <t>EGRESOS</t>
  </si>
  <si>
    <t>TOTALES</t>
  </si>
  <si>
    <t>ACTIVO:</t>
  </si>
  <si>
    <t>Caja</t>
  </si>
  <si>
    <t>Mercaderías</t>
  </si>
  <si>
    <t>PASIVO+PN:</t>
  </si>
  <si>
    <t>Proveedores</t>
  </si>
  <si>
    <t>VENTAS</t>
  </si>
  <si>
    <t>ANTERIORES</t>
  </si>
  <si>
    <t>PRESUPUESTADAS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</si>
  <si>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</si>
  <si>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</si>
  <si>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</si>
  <si>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</si>
  <si>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</si>
  <si>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</si>
  <si>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</si>
  <si>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</si>
  <si>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Condiciones</t>
  </si>
  <si>
    <t>Margen de contribución:</t>
  </si>
  <si>
    <t>días, que son:</t>
  </si>
  <si>
    <t>meses</t>
  </si>
  <si>
    <r>
      <t xml:space="preserve">Tiempo de </t>
    </r>
    <r>
      <rPr>
        <sz val="11"/>
        <color rgb="FFFF0000"/>
        <rFont val="Aptos Narrow"/>
        <family val="2"/>
        <scheme val="minor"/>
      </rPr>
      <t>anticipación</t>
    </r>
    <r>
      <rPr>
        <sz val="11"/>
        <color theme="1"/>
        <rFont val="Aptos Narrow"/>
        <family val="2"/>
        <scheme val="minor"/>
      </rPr>
      <t xml:space="preserve"> en compras:</t>
    </r>
  </si>
  <si>
    <r>
      <t>Pago de las compras (</t>
    </r>
    <r>
      <rPr>
        <sz val="11"/>
        <color rgb="FFFF0000"/>
        <rFont val="Aptos Narrow"/>
        <family val="2"/>
        <scheme val="minor"/>
      </rPr>
      <t>demora</t>
    </r>
    <r>
      <rPr>
        <sz val="11"/>
        <color theme="1"/>
        <rFont val="Aptos Narrow"/>
        <family val="2"/>
        <scheme val="minor"/>
      </rPr>
      <t>):</t>
    </r>
  </si>
  <si>
    <t xml:space="preserve">Gastos fijos: </t>
  </si>
  <si>
    <t>PRESUPUESTO ECONÓMICO</t>
  </si>
  <si>
    <t>PRESUPUESTO FINANCIERO</t>
  </si>
  <si>
    <t>ESQUEMA FINANCIERO</t>
  </si>
  <si>
    <t>X</t>
  </si>
  <si>
    <t>X-1</t>
  </si>
  <si>
    <t>X-2</t>
  </si>
  <si>
    <t>COMPRAS</t>
  </si>
  <si>
    <t>INGRESOS ACTIVOS</t>
  </si>
  <si>
    <t>X+1</t>
  </si>
  <si>
    <t>X+2</t>
  </si>
  <si>
    <t>HOY</t>
  </si>
  <si>
    <t>ingreso del activo</t>
  </si>
  <si>
    <t>DIFERIDO</t>
  </si>
  <si>
    <t>Totales INGRESOS</t>
  </si>
  <si>
    <t>Totales EGRESOS</t>
  </si>
  <si>
    <t>VENTAS:</t>
  </si>
  <si>
    <t>saldo anterior</t>
  </si>
  <si>
    <t>ventas</t>
  </si>
  <si>
    <t>junio</t>
  </si>
  <si>
    <t>julio</t>
  </si>
  <si>
    <t>MERCADERÍAS</t>
  </si>
  <si>
    <t>esto incluye lo que voy a usar en enero y febrero</t>
  </si>
  <si>
    <t>PASIVO:</t>
  </si>
  <si>
    <t>PN:</t>
  </si>
  <si>
    <t>Capital</t>
  </si>
  <si>
    <t>resultado del ejercicio</t>
  </si>
  <si>
    <t>Pasivo+PN</t>
  </si>
  <si>
    <t>total PASIVO</t>
  </si>
  <si>
    <t>total ACTIVO</t>
  </si>
  <si>
    <t>total PATR. NETO</t>
  </si>
  <si>
    <t>PASIVO + PN</t>
  </si>
  <si>
    <t>agosto</t>
  </si>
  <si>
    <t>septiembre</t>
  </si>
  <si>
    <t>Deudores por venta</t>
  </si>
  <si>
    <t>enero X1</t>
  </si>
  <si>
    <t>mensuales</t>
  </si>
  <si>
    <t>vida útil:</t>
  </si>
  <si>
    <t>COMPRAS PARA:</t>
  </si>
  <si>
    <t>Deudores por ventas</t>
  </si>
  <si>
    <t>a los 60 días</t>
  </si>
  <si>
    <t>Tipo de financiación:</t>
  </si>
  <si>
    <t>BALANCE PROYECTADO</t>
  </si>
  <si>
    <t>Prov. Hs Extras</t>
  </si>
  <si>
    <t>horas extras MENSUALES</t>
  </si>
  <si>
    <t>pagándose al mes siguiente</t>
  </si>
  <si>
    <t>SALDO ACUMULADO</t>
  </si>
  <si>
    <t>proveed.</t>
  </si>
  <si>
    <t>gastos fijos a pagar</t>
  </si>
  <si>
    <t>saldo MENSUAL</t>
  </si>
  <si>
    <t>Otras deudas</t>
  </si>
  <si>
    <t>Gs. A pagar</t>
  </si>
  <si>
    <t>Maquinarias</t>
  </si>
  <si>
    <t>amort acum maquinarias</t>
  </si>
  <si>
    <t>inmuebles</t>
  </si>
  <si>
    <t>amort acum inmuebles</t>
  </si>
  <si>
    <t>previsión por deudores incobr.</t>
  </si>
  <si>
    <t>al contado</t>
  </si>
  <si>
    <t>25% de aumento a partir de octubre</t>
  </si>
  <si>
    <t>en el enunciado dice 6.000</t>
  </si>
  <si>
    <t>previsión deudores incobrables</t>
  </si>
  <si>
    <t>nuevo mobiliario</t>
  </si>
  <si>
    <t>EJERCICIO TIPO PARCIAL</t>
  </si>
  <si>
    <t>UTILIZADAS EN JULIO</t>
  </si>
  <si>
    <t>REMANENTE</t>
  </si>
  <si>
    <t>amort acum maq</t>
  </si>
  <si>
    <t>Inmueble</t>
  </si>
  <si>
    <t>amort acum inm</t>
  </si>
  <si>
    <t>previsión deud. Inc</t>
  </si>
  <si>
    <t>cuotas faltantes deuda</t>
  </si>
  <si>
    <t>Horas extras pendientes de pago</t>
  </si>
  <si>
    <t>Provisión H. Extras</t>
  </si>
  <si>
    <t>deudores incobrables:</t>
  </si>
  <si>
    <t>si es algo que tengo como para cobrar en este ciclo y NO lo voy a cobrar (por incobrable) LO DESCUENTO en el presupuesto financiero</t>
  </si>
  <si>
    <t>(sumo arriba, descuento abajo)</t>
  </si>
  <si>
    <t>yo consideré que la segunda cuota de lo comprado en junio es INCOBRABLE (por eso me da distinto que al profe)</t>
  </si>
  <si>
    <t>Sueldos a pagar</t>
  </si>
  <si>
    <t>Las ventas se cobran 30% a los 30 días  y el resto a los 60 días de la venta</t>
  </si>
  <si>
    <t>honorarios</t>
  </si>
  <si>
    <t>sobre regalías por ventas a los 60 días (a c/u de los 2 vendedores)</t>
  </si>
  <si>
    <t>se proyecta comprar mobiliarios por</t>
  </si>
  <si>
    <t>en cuanto se pueda SIN ENDEUDARSE</t>
  </si>
  <si>
    <t>se pagan al mes siguiente</t>
  </si>
  <si>
    <t>saldo deudas pendientes (ciclo anterior)</t>
  </si>
  <si>
    <t>interés en octubre --&gt; 4 cuotas</t>
  </si>
  <si>
    <t>Venta de Mauinarias:</t>
  </si>
  <si>
    <t>con ganancia</t>
  </si>
  <si>
    <t>sobre valor residual el 30/8 a cobrar en 5 cuotas iguales a partir del mes siguiente</t>
  </si>
  <si>
    <t>incobrables al deudor por ventas del mes de octubre el día 1/12</t>
  </si>
  <si>
    <t>liquidan mercadería remanente (de períodos anteriores)</t>
  </si>
  <si>
    <t>con un descuento del 25%</t>
  </si>
  <si>
    <t>se cobra al mes siguiente</t>
  </si>
  <si>
    <t>SAC se abona con el último mes del sueldo como parámetro</t>
  </si>
  <si>
    <t>porque la contribución marginal es</t>
  </si>
  <si>
    <t>compras=</t>
  </si>
  <si>
    <t>ver cuándo hay más de 120.000 para comprar mobiliario</t>
  </si>
  <si>
    <t>Sueldo y SAC pendiente</t>
  </si>
  <si>
    <t>PROPIA</t>
  </si>
  <si>
    <t>maquinarias</t>
  </si>
  <si>
    <t>gastos fijos</t>
  </si>
  <si>
    <t>saldado ciclo anterior. Ver siguiente ciclo</t>
  </si>
  <si>
    <t>saldo deuda anterior</t>
  </si>
  <si>
    <t>préstamo para pagar deudas anteriores</t>
  </si>
  <si>
    <t xml:space="preserve">saldado ciclo anterior. </t>
  </si>
  <si>
    <t>interés por préstamo para pagar deudas</t>
  </si>
  <si>
    <t>pago préstamo para saldar deuda anteiror</t>
  </si>
  <si>
    <t>se deben dos cuotas</t>
  </si>
  <si>
    <t>proveedores a pagar</t>
  </si>
  <si>
    <t>horas extras</t>
  </si>
  <si>
    <t>usado</t>
  </si>
  <si>
    <t>provisión horas extras ($2.200)</t>
  </si>
  <si>
    <t>horas extras a pagar en prox. Ciclo</t>
  </si>
  <si>
    <t>descuento el deudor incobrable de ventas de octubre que debe en diciembre</t>
  </si>
  <si>
    <t>deudor incobrable (venta octubre a cobrar en diciembre)</t>
  </si>
  <si>
    <t>se usó todo</t>
  </si>
  <si>
    <t>VENTA DE MAQUINARIAS</t>
  </si>
  <si>
    <t>amortización maquinarias que NO se venden</t>
  </si>
  <si>
    <t>amortización maquinarias que se vendieron el 31/8</t>
  </si>
  <si>
    <t>amortización inmueble</t>
  </si>
  <si>
    <t>amortización mobiliario nuevo</t>
  </si>
  <si>
    <t>de</t>
  </si>
  <si>
    <t>amortización acumulada maquinarias (total)</t>
  </si>
  <si>
    <t>amort acum venta</t>
  </si>
  <si>
    <t>amort este ciclo</t>
  </si>
  <si>
    <t>valor residual al 31/8</t>
  </si>
  <si>
    <t>ganancia 40%</t>
  </si>
  <si>
    <t>valor venta</t>
  </si>
  <si>
    <t>ganancia venta de maquinarias</t>
  </si>
  <si>
    <t>ingreso por venta de maquinaria</t>
  </si>
  <si>
    <t>VENTA DE REMANENTE</t>
  </si>
  <si>
    <t>COMPRADO EN DICIEMBRE PARA ENERO</t>
  </si>
  <si>
    <t>mobiliario nuevo</t>
  </si>
  <si>
    <t>liquido mercadería</t>
  </si>
  <si>
    <t>pérdida por venta de mercadería remanente</t>
  </si>
  <si>
    <t>mercadería remanente:</t>
  </si>
  <si>
    <t>descuento:</t>
  </si>
  <si>
    <t>compra de mobiliario nuevo</t>
  </si>
  <si>
    <t>deudores por venta maq.</t>
  </si>
  <si>
    <t>proveedores iniciales</t>
  </si>
  <si>
    <t>pagué en julio por compras hechas en mayo</t>
  </si>
  <si>
    <t>pagué en agosto por compras hechas en junio</t>
  </si>
  <si>
    <t>saldo</t>
  </si>
  <si>
    <t>compras hechas en noviembre pagando parte en enero</t>
  </si>
  <si>
    <t>compras hechas en diciembre pagando parte en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</si>
</sst>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#,##0_ ;[Red]\-#,##0\ "/>
  </numFmts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46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8" fontId="0" fillId="0" borderId="0" xfId="0" applyNumberFormat="1"/>
    <xf numFmtId="8" fontId="2" fillId="0" borderId="0" xfId="0" applyNumberFormat="1" applyFont="1"/>
    <xf numFmtId="8" fontId="3" fillId="0" borderId="0" xfId="0" applyNumberFormat="1" applyFont="1"/>
    <xf numFmtId="8" fontId="0" fillId="0" borderId="21" xfId="0" applyNumberFormat="1" applyBorder="1" applyAlignment="1">
      <alignment horizontal="right" vertical="center"/>
    </xf>
    <xf numFmtId="8" fontId="0" fillId="0" borderId="22" xfId="0" applyNumberFormat="1" applyBorder="1" applyAlignment="1">
      <alignment horizontal="right" vertical="center"/>
    </xf>
    <xf numFmtId="8" fontId="0" fillId="0" borderId="23" xfId="0" applyNumberFormat="1" applyBorder="1" applyAlignment="1">
      <alignment horizontal="right" vertical="center"/>
    </xf>
    <xf numFmtId="8" fontId="0" fillId="0" borderId="12" xfId="0" applyNumberFormat="1" applyBorder="1" applyAlignment="1">
      <alignment horizontal="right" vertical="center"/>
    </xf>
    <xf numFmtId="8" fontId="0" fillId="0" borderId="18" xfId="0" applyNumberFormat="1" applyBorder="1" applyAlignment="1">
      <alignment horizontal="right" vertical="center"/>
    </xf>
    <xf numFmtId="8" fontId="0" fillId="0" borderId="19" xfId="0" applyNumberFormat="1" applyBorder="1" applyAlignment="1">
      <alignment horizontal="right" vertical="center"/>
    </xf>
    <xf numFmtId="8" fontId="0" fillId="0" borderId="20" xfId="0" applyNumberFormat="1" applyBorder="1" applyAlignment="1">
      <alignment horizontal="right" vertical="center"/>
    </xf>
    <xf numFmtId="8" fontId="0" fillId="0" borderId="31" xfId="0" applyNumberFormat="1" applyBorder="1" applyAlignment="1">
      <alignment horizontal="right" vertical="center"/>
    </xf>
    <xf numFmtId="8" fontId="0" fillId="0" borderId="32" xfId="0" applyNumberFormat="1" applyBorder="1" applyAlignment="1">
      <alignment horizontal="right" vertical="center"/>
    </xf>
    <xf numFmtId="8" fontId="0" fillId="0" borderId="33" xfId="0" applyNumberFormat="1" applyBorder="1" applyAlignment="1">
      <alignment horizontal="right" vertical="center"/>
    </xf>
    <xf numFmtId="8" fontId="0" fillId="0" borderId="34" xfId="0" applyNumberFormat="1" applyBorder="1" applyAlignment="1">
      <alignment horizontal="right" vertical="center"/>
    </xf>
    <xf numFmtId="8" fontId="0" fillId="2" borderId="0" xfId="0" applyNumberFormat="1" applyFill="1"/>
    <xf numFmtId="8" fontId="0" fillId="2" borderId="38" xfId="0" applyNumberFormat="1" applyFill="1" applyBorder="1"/>
    <xf numFmtId="9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8" fontId="0" fillId="0" borderId="39" xfId="0" applyNumberFormat="1" applyBorder="1" applyAlignment="1">
      <alignment horizontal="right" vertical="center"/>
    </xf>
    <xf numFmtId="8" fontId="0" fillId="0" borderId="40" xfId="0" applyNumberFormat="1" applyBorder="1" applyAlignment="1">
      <alignment horizontal="right" vertical="center"/>
    </xf>
    <xf numFmtId="8" fontId="0" fillId="0" borderId="41" xfId="0" applyNumberFormat="1" applyBorder="1" applyAlignment="1">
      <alignment horizontal="right" vertical="center"/>
    </xf>
    <xf numFmtId="8" fontId="0" fillId="0" borderId="8" xfId="0" applyNumberFormat="1" applyBorder="1" applyAlignment="1">
      <alignment horizontal="right" vertical="center"/>
    </xf>
    <xf numFmtId="8" fontId="0" fillId="0" borderId="13" xfId="0" applyNumberFormat="1" applyBorder="1" applyAlignment="1">
      <alignment horizontal="right" vertical="center"/>
    </xf>
    <xf numFmtId="8" fontId="0" fillId="0" borderId="14" xfId="0" applyNumberFormat="1" applyBorder="1" applyAlignment="1">
      <alignment horizontal="right" vertical="center"/>
    </xf>
    <xf numFmtId="8" fontId="0" fillId="0" borderId="15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9" fontId="0" fillId="2" borderId="22" xfId="0" applyNumberFormat="1" applyFill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0" fillId="2" borderId="0" xfId="0" applyNumberFormat="1" applyFill="1" applyAlignment="1">
      <alignment horizontal="center" vertical="center"/>
    </xf>
    <xf numFmtId="8" fontId="0" fillId="0" borderId="1" xfId="0" applyNumberFormat="1" applyBorder="1" applyAlignment="1">
      <alignment horizontal="right" vertical="center"/>
    </xf>
    <xf numFmtId="8" fontId="0" fillId="0" borderId="24" xfId="0" applyNumberFormat="1" applyBorder="1" applyAlignment="1">
      <alignment horizontal="right" vertical="center"/>
    </xf>
    <xf numFmtId="8" fontId="0" fillId="0" borderId="25" xfId="0" applyNumberFormat="1" applyBorder="1" applyAlignment="1">
      <alignment horizontal="right" vertical="center"/>
    </xf>
    <xf numFmtId="8" fontId="0" fillId="0" borderId="28" xfId="0" applyNumberFormat="1" applyBorder="1" applyAlignment="1">
      <alignment horizontal="right" vertical="center"/>
    </xf>
    <xf numFmtId="8" fontId="0" fillId="0" borderId="0" xfId="0" applyNumberFormat="1" applyAlignment="1">
      <alignment horizontal="center" vertical="center"/>
    </xf>
    <xf numFmtId="8" fontId="3" fillId="0" borderId="0" xfId="0" applyNumberFormat="1" applyFont="1" applyAlignment="1">
      <alignment vertical="center"/>
    </xf>
    <xf numFmtId="8" fontId="0" fillId="0" borderId="0" xfId="0" applyNumberFormat="1" applyAlignment="1">
      <alignment vertical="center"/>
    </xf>
    <xf numFmtId="8" fontId="0" fillId="0" borderId="38" xfId="0" applyNumberFormat="1" applyBorder="1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1" xfId="0" applyNumberFormat="1" applyBorder="1" applyAlignment="1">
      <alignment vertical="center"/>
    </xf>
    <xf numFmtId="8" fontId="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46" xfId="0" applyBorder="1" applyAlignment="1">
      <alignment horizontal="center" vertical="center"/>
    </xf>
    <xf numFmtId="8" fontId="0" fillId="0" borderId="47" xfId="0" applyNumberFormat="1" applyBorder="1" applyAlignment="1">
      <alignment horizontal="right" vertical="center"/>
    </xf>
    <xf numFmtId="8" fontId="0" fillId="0" borderId="48" xfId="0" applyNumberFormat="1" applyBorder="1" applyAlignment="1">
      <alignment horizontal="right" vertical="center"/>
    </xf>
    <xf numFmtId="8" fontId="0" fillId="0" borderId="49" xfId="0" applyNumberFormat="1" applyBorder="1" applyAlignment="1">
      <alignment horizontal="right" vertical="center"/>
    </xf>
    <xf numFmtId="8" fontId="0" fillId="0" borderId="46" xfId="0" applyNumberFormat="1" applyBorder="1" applyAlignment="1">
      <alignment horizontal="right" vertical="center"/>
    </xf>
    <xf numFmtId="8" fontId="0" fillId="0" borderId="50" xfId="0" applyNumberFormat="1" applyBorder="1" applyAlignment="1">
      <alignment horizontal="right" vertical="center"/>
    </xf>
    <xf numFmtId="8" fontId="0" fillId="0" borderId="9" xfId="0" applyNumberFormat="1" applyBorder="1" applyAlignment="1">
      <alignment horizontal="right" vertical="center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8" fontId="0" fillId="0" borderId="29" xfId="0" applyNumberForma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8" fontId="0" fillId="0" borderId="52" xfId="0" applyNumberFormat="1" applyBorder="1" applyAlignment="1">
      <alignment horizontal="right" vertical="center"/>
    </xf>
    <xf numFmtId="8" fontId="0" fillId="0" borderId="45" xfId="0" applyNumberFormat="1" applyBorder="1" applyAlignment="1">
      <alignment horizontal="right" vertical="center"/>
    </xf>
    <xf numFmtId="8" fontId="0" fillId="0" borderId="51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center" vertical="center"/>
    </xf>
    <xf numFmtId="9" fontId="0" fillId="0" borderId="0" xfId="0" applyNumberFormat="1"/>
    <xf numFmtId="9" fontId="0" fillId="2" borderId="8" xfId="0" applyNumberForma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8" fontId="2" fillId="0" borderId="12" xfId="0" applyNumberFormat="1" applyFont="1" applyBorder="1" applyAlignment="1">
      <alignment horizontal="right" vertical="center"/>
    </xf>
    <xf numFmtId="8" fontId="2" fillId="0" borderId="31" xfId="0" applyNumberFormat="1" applyFont="1" applyBorder="1" applyAlignment="1">
      <alignment horizontal="right" vertical="center"/>
    </xf>
    <xf numFmtId="8" fontId="2" fillId="0" borderId="34" xfId="0" applyNumberFormat="1" applyFont="1" applyBorder="1" applyAlignment="1">
      <alignment horizontal="right" vertical="center"/>
    </xf>
    <xf numFmtId="8" fontId="2" fillId="0" borderId="32" xfId="0" applyNumberFormat="1" applyFont="1" applyBorder="1" applyAlignment="1">
      <alignment horizontal="right" vertical="center"/>
    </xf>
    <xf numFmtId="8" fontId="2" fillId="0" borderId="33" xfId="0" applyNumberFormat="1" applyFont="1" applyBorder="1" applyAlignment="1">
      <alignment horizontal="right" vertical="center"/>
    </xf>
    <xf numFmtId="8" fontId="2" fillId="0" borderId="40" xfId="0" applyNumberFormat="1" applyFont="1" applyBorder="1" applyAlignment="1">
      <alignment horizontal="right" vertical="center"/>
    </xf>
    <xf numFmtId="8" fontId="2" fillId="0" borderId="41" xfId="0" applyNumberFormat="1" applyFont="1" applyBorder="1" applyAlignment="1">
      <alignment horizontal="right" vertical="center"/>
    </xf>
    <xf numFmtId="8" fontId="9" fillId="0" borderId="1" xfId="0" applyNumberFormat="1" applyFont="1" applyBorder="1"/>
    <xf numFmtId="8" fontId="2" fillId="0" borderId="28" xfId="0" applyNumberFormat="1" applyFont="1" applyBorder="1" applyAlignment="1">
      <alignment horizontal="right" vertical="center"/>
    </xf>
    <xf numFmtId="9" fontId="0" fillId="0" borderId="23" xfId="0" applyNumberFormat="1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53" xfId="0" applyBorder="1" applyAlignment="1">
      <alignment horizontal="left" vertical="center"/>
    </xf>
    <xf numFmtId="8" fontId="0" fillId="0" borderId="54" xfId="0" applyNumberFormat="1" applyBorder="1" applyAlignment="1">
      <alignment horizontal="right" vertical="center"/>
    </xf>
    <xf numFmtId="8" fontId="0" fillId="0" borderId="55" xfId="0" applyNumberFormat="1" applyBorder="1" applyAlignment="1">
      <alignment horizontal="right" vertical="center"/>
    </xf>
    <xf numFmtId="8" fontId="0" fillId="0" borderId="56" xfId="0" applyNumberFormat="1" applyBorder="1" applyAlignment="1">
      <alignment horizontal="right" vertical="center"/>
    </xf>
    <xf numFmtId="8" fontId="0" fillId="0" borderId="0" xfId="0" applyNumberFormat="1" applyAlignment="1">
      <alignment horizontal="left" vertical="center"/>
    </xf>
    <xf numFmtId="8" fontId="2" fillId="0" borderId="39" xfId="0" applyNumberFormat="1" applyFont="1" applyBorder="1" applyAlignment="1">
      <alignment horizontal="right" vertical="center"/>
    </xf>
    <xf numFmtId="8" fontId="10" fillId="0" borderId="0" xfId="0" applyNumberFormat="1" applyFont="1" applyAlignment="1">
      <alignment vertical="center"/>
    </xf>
    <xf numFmtId="8" fontId="0" fillId="6" borderId="0" xfId="0" applyNumberFormat="1" applyFill="1"/>
    <xf numFmtId="8" fontId="2" fillId="6" borderId="0" xfId="0" applyNumberFormat="1" applyFont="1" applyFill="1"/>
    <xf numFmtId="9" fontId="0" fillId="6" borderId="0" xfId="0" applyNumberFormat="1" applyFill="1"/>
    <xf numFmtId="9" fontId="0" fillId="6" borderId="0" xfId="0" applyNumberFormat="1" applyFill="1" applyAlignment="1">
      <alignment horizontal="center"/>
    </xf>
    <xf numFmtId="0" fontId="7" fillId="0" borderId="0" xfId="0" applyFont="1" applyAlignment="1">
      <alignment horizontal="right" vertical="center"/>
    </xf>
    <xf numFmtId="8" fontId="0" fillId="0" borderId="57" xfId="0" applyNumberFormat="1" applyBorder="1" applyAlignment="1">
      <alignment horizontal="right" vertical="center"/>
    </xf>
    <xf numFmtId="8" fontId="0" fillId="0" borderId="58" xfId="0" applyNumberFormat="1" applyBorder="1" applyAlignment="1">
      <alignment horizontal="right" vertical="center"/>
    </xf>
    <xf numFmtId="0" fontId="2" fillId="0" borderId="35" xfId="0" applyFont="1" applyBorder="1" applyAlignment="1">
      <alignment horizontal="left" vertical="center"/>
    </xf>
    <xf numFmtId="44" fontId="0" fillId="0" borderId="0" xfId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right" vertical="center"/>
    </xf>
    <xf numFmtId="0" fontId="0" fillId="5" borderId="26" xfId="0" applyFill="1" applyBorder="1" applyAlignment="1">
      <alignment horizontal="left" vertical="center"/>
    </xf>
    <xf numFmtId="8" fontId="0" fillId="5" borderId="24" xfId="0" applyNumberFormat="1" applyFill="1" applyBorder="1" applyAlignment="1">
      <alignment horizontal="right" vertical="center"/>
    </xf>
    <xf numFmtId="8" fontId="0" fillId="5" borderId="8" xfId="0" applyNumberFormat="1" applyFill="1" applyBorder="1" applyAlignment="1">
      <alignment horizontal="right" vertical="center"/>
    </xf>
    <xf numFmtId="8" fontId="0" fillId="5" borderId="9" xfId="0" applyNumberFormat="1" applyFill="1" applyBorder="1" applyAlignment="1">
      <alignment horizontal="right" vertical="center"/>
    </xf>
    <xf numFmtId="8" fontId="0" fillId="5" borderId="19" xfId="0" applyNumberFormat="1" applyFill="1" applyBorder="1" applyAlignment="1">
      <alignment horizontal="right" vertical="center"/>
    </xf>
    <xf numFmtId="8" fontId="0" fillId="5" borderId="25" xfId="0" applyNumberFormat="1" applyFill="1" applyBorder="1" applyAlignment="1">
      <alignment horizontal="right" vertical="center"/>
    </xf>
    <xf numFmtId="8" fontId="0" fillId="5" borderId="31" xfId="0" applyNumberFormat="1" applyFill="1" applyBorder="1" applyAlignment="1">
      <alignment horizontal="right" vertical="center"/>
    </xf>
    <xf numFmtId="8" fontId="0" fillId="5" borderId="45" xfId="0" applyNumberFormat="1" applyFill="1" applyBorder="1" applyAlignment="1">
      <alignment horizontal="right" vertical="center"/>
    </xf>
    <xf numFmtId="8" fontId="0" fillId="0" borderId="38" xfId="0" applyNumberFormat="1" applyBorder="1" applyAlignment="1">
      <alignment horizontal="right" vertical="center"/>
    </xf>
    <xf numFmtId="8" fontId="0" fillId="5" borderId="0" xfId="0" applyNumberFormat="1" applyFill="1" applyAlignment="1">
      <alignment vertical="center"/>
    </xf>
    <xf numFmtId="8" fontId="0" fillId="0" borderId="8" xfId="0" applyNumberFormat="1" applyBorder="1" applyAlignment="1">
      <alignment horizontal="left" vertical="center"/>
    </xf>
    <xf numFmtId="8" fontId="0" fillId="5" borderId="38" xfId="0" applyNumberForma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8" fontId="6" fillId="0" borderId="2" xfId="0" applyNumberFormat="1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8" fontId="6" fillId="0" borderId="5" xfId="0" applyNumberFormat="1" applyFont="1" applyBorder="1" applyAlignment="1">
      <alignment horizontal="center" vertical="center"/>
    </xf>
    <xf numFmtId="8" fontId="6" fillId="0" borderId="7" xfId="0" applyNumberFormat="1" applyFont="1" applyBorder="1" applyAlignment="1">
      <alignment horizontal="center" vertical="center"/>
    </xf>
    <xf numFmtId="8" fontId="8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435859</xdr:colOff>
      <xdr:row>0</xdr:row>
      <xdr:rowOff>0</xdr:rowOff>
    </xdr:from>
    <xdr:to>
      <xdr:col>17</xdr:col>
      <xdr:colOff>55709</xdr:colOff>
      <xdr:row>26</xdr:row>
      <xdr:rowOff>170075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315045-E57D-8817-5F6F-21E216ADF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6970" y="0"/>
          <a:ext cx="6729162" cy="514256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33</xdr:col>
      <xdr:colOff>248961</xdr:colOff>
      <xdr:row>41</xdr:row>
      <xdr:rowOff>131197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98095A-C164-75C5-9FF0-13225915A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98995" y="0"/>
          <a:ext cx="10469436" cy="792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2783-37C3-488B-A312-FC92B32835A3}">
  <sheetPr>
    <pageSetUpPr fitToPage="1"/>
  </sheetPr>
  <dimension ref="A1:I38"/>
  <sheetViews>
    <sheetView showGridLines="0" zoomScale="81" workbookViewId="0">
      <selection activeCell="D5" sqref="D5"/>
    </sheetView>
  </sheetViews>
  <sheetFormatPr baseColWidth="10" defaultRowHeight="14.6" x14ac:dyDescent="0.4"/>
  <cols>
    <col min="1" max="1" width="29.84375" style="13" customWidth="1"/>
    <col min="2" max="2" width="14.53515625" style="13" customWidth="1"/>
    <col min="3" max="3" width="11.53515625" style="13" bestFit="1" customWidth="1"/>
    <col min="4" max="4" width="18.07421875" style="13" customWidth="1"/>
    <col min="5" max="5" width="12.15234375" style="13" customWidth="1"/>
    <col min="6" max="6" width="6.23046875" style="13" bestFit="1" customWidth="1"/>
    <col min="7" max="7" width="22.15234375" style="13" bestFit="1" customWidth="1"/>
    <col min="8" max="8" width="13.07421875" style="13" bestFit="1" customWidth="1"/>
    <col min="9" max="9" width="11.53515625" style="13" bestFit="1" customWidth="1"/>
    <col min="10" max="16384" width="11.07421875" style="13"/>
  </cols>
  <sheetData>
    <row r="1" spans="1:9" ht="21" thickBot="1" x14ac:dyDescent="0.6">
      <c r="A1" s="92" t="s">
        <v>93</v>
      </c>
    </row>
    <row r="2" spans="1:9" x14ac:dyDescent="0.4">
      <c r="A2" s="15" t="s">
        <v>9</v>
      </c>
      <c r="G2" s="15" t="s">
        <v>12</v>
      </c>
    </row>
    <row r="3" spans="1:9" x14ac:dyDescent="0.4">
      <c r="A3" s="13" t="s">
        <v>10</v>
      </c>
      <c r="B3" s="27">
        <v>80000</v>
      </c>
      <c r="G3" s="13" t="s">
        <v>74</v>
      </c>
      <c r="H3" s="27">
        <v>2200</v>
      </c>
      <c r="I3" s="13" t="s">
        <v>140</v>
      </c>
    </row>
    <row r="4" spans="1:9" x14ac:dyDescent="0.4">
      <c r="A4" s="13" t="s">
        <v>65</v>
      </c>
      <c r="B4" s="27">
        <v>220600</v>
      </c>
      <c r="C4" s="13">
        <f>+FINANCIERO!B7+FINANCIERO!B8+FINANCIERO!C8</f>
        <v>205600</v>
      </c>
      <c r="D4" s="13">
        <f>+B4-C4</f>
        <v>15000</v>
      </c>
      <c r="G4" s="13" t="s">
        <v>81</v>
      </c>
      <c r="H4" s="27">
        <v>22000</v>
      </c>
      <c r="I4" s="13" t="s">
        <v>134</v>
      </c>
    </row>
    <row r="5" spans="1:9" x14ac:dyDescent="0.4">
      <c r="A5" s="13" t="s">
        <v>11</v>
      </c>
      <c r="B5" s="27">
        <v>97520</v>
      </c>
      <c r="G5" s="13" t="s">
        <v>82</v>
      </c>
      <c r="H5" s="27">
        <v>800</v>
      </c>
      <c r="I5" s="13" t="s">
        <v>131</v>
      </c>
    </row>
    <row r="6" spans="1:9" x14ac:dyDescent="0.4">
      <c r="A6" s="13" t="s">
        <v>83</v>
      </c>
      <c r="B6" s="27">
        <v>24000</v>
      </c>
      <c r="G6" s="13" t="s">
        <v>13</v>
      </c>
      <c r="H6" s="27">
        <v>73416</v>
      </c>
    </row>
    <row r="7" spans="1:9" x14ac:dyDescent="0.4">
      <c r="A7" s="13" t="s">
        <v>84</v>
      </c>
      <c r="B7" s="27">
        <v>-3600</v>
      </c>
      <c r="G7" s="13" t="s">
        <v>107</v>
      </c>
      <c r="H7" s="27">
        <v>3510</v>
      </c>
      <c r="I7" s="13" t="s">
        <v>131</v>
      </c>
    </row>
    <row r="8" spans="1:9" x14ac:dyDescent="0.4">
      <c r="A8" s="13" t="s">
        <v>85</v>
      </c>
      <c r="B8" s="27">
        <v>240000</v>
      </c>
      <c r="G8" s="13" t="s">
        <v>56</v>
      </c>
      <c r="H8" s="28">
        <v>461074</v>
      </c>
    </row>
    <row r="9" spans="1:9" x14ac:dyDescent="0.4">
      <c r="A9" s="13" t="s">
        <v>86</v>
      </c>
      <c r="B9" s="27">
        <v>-40000</v>
      </c>
      <c r="G9" s="13" t="s">
        <v>58</v>
      </c>
      <c r="H9" s="13">
        <f>SUM(H3:H8)</f>
        <v>563000</v>
      </c>
    </row>
    <row r="10" spans="1:9" x14ac:dyDescent="0.4">
      <c r="A10" s="13" t="s">
        <v>87</v>
      </c>
      <c r="B10" s="28">
        <v>-55520</v>
      </c>
      <c r="C10" s="13" t="s">
        <v>145</v>
      </c>
    </row>
    <row r="11" spans="1:9" x14ac:dyDescent="0.4">
      <c r="B11" s="13">
        <f>SUM(B3:B10)</f>
        <v>563000</v>
      </c>
      <c r="C11" s="15"/>
      <c r="G11" s="15" t="s">
        <v>16</v>
      </c>
      <c r="H11" s="15"/>
    </row>
    <row r="12" spans="1:9" x14ac:dyDescent="0.4">
      <c r="A12" s="15" t="s">
        <v>14</v>
      </c>
      <c r="G12" s="27" t="s">
        <v>51</v>
      </c>
      <c r="H12" s="27">
        <v>151200</v>
      </c>
    </row>
    <row r="13" spans="1:9" x14ac:dyDescent="0.4">
      <c r="A13" s="15" t="s">
        <v>15</v>
      </c>
      <c r="B13" s="15"/>
      <c r="G13" s="27" t="s">
        <v>63</v>
      </c>
      <c r="H13" s="27">
        <v>162000</v>
      </c>
    </row>
    <row r="14" spans="1:9" x14ac:dyDescent="0.4">
      <c r="A14" s="27" t="s">
        <v>20</v>
      </c>
      <c r="B14" s="27"/>
      <c r="G14" s="27" t="s">
        <v>64</v>
      </c>
      <c r="H14" s="27">
        <v>172800</v>
      </c>
    </row>
    <row r="15" spans="1:9" x14ac:dyDescent="0.4">
      <c r="A15" s="27" t="s">
        <v>21</v>
      </c>
      <c r="B15" s="27"/>
      <c r="G15" s="27" t="s">
        <v>17</v>
      </c>
      <c r="H15" s="27">
        <v>183600</v>
      </c>
    </row>
    <row r="16" spans="1:9" x14ac:dyDescent="0.4">
      <c r="A16" s="27" t="s">
        <v>22</v>
      </c>
      <c r="B16" s="27"/>
      <c r="G16" s="27" t="s">
        <v>18</v>
      </c>
      <c r="H16" s="27">
        <v>194400</v>
      </c>
    </row>
    <row r="17" spans="1:8" x14ac:dyDescent="0.4">
      <c r="A17" s="27" t="s">
        <v>23</v>
      </c>
      <c r="B17" s="27"/>
      <c r="G17" s="27" t="s">
        <v>19</v>
      </c>
      <c r="H17" s="27">
        <v>205200</v>
      </c>
    </row>
    <row r="18" spans="1:8" x14ac:dyDescent="0.4">
      <c r="A18" s="27" t="s">
        <v>24</v>
      </c>
      <c r="B18" s="27">
        <v>108000</v>
      </c>
      <c r="G18" s="27" t="s">
        <v>66</v>
      </c>
      <c r="H18" s="28">
        <v>216000</v>
      </c>
    </row>
    <row r="19" spans="1:8" x14ac:dyDescent="0.4">
      <c r="A19" s="27" t="s">
        <v>50</v>
      </c>
      <c r="B19" s="27">
        <v>130000</v>
      </c>
      <c r="H19" s="13">
        <f>SUM(H12:H18)</f>
        <v>1285200</v>
      </c>
    </row>
    <row r="21" spans="1:8" x14ac:dyDescent="0.4">
      <c r="A21" s="14" t="s">
        <v>25</v>
      </c>
    </row>
    <row r="22" spans="1:8" x14ac:dyDescent="0.4">
      <c r="A22" s="13" t="s">
        <v>26</v>
      </c>
      <c r="C22" s="29">
        <v>0.45</v>
      </c>
    </row>
    <row r="23" spans="1:8" x14ac:dyDescent="0.4">
      <c r="A23" s="13" t="s">
        <v>108</v>
      </c>
    </row>
    <row r="24" spans="1:8" x14ac:dyDescent="0.4">
      <c r="A24" s="13" t="s">
        <v>29</v>
      </c>
      <c r="C24" s="30">
        <v>30</v>
      </c>
      <c r="D24" s="13" t="s">
        <v>27</v>
      </c>
      <c r="E24" s="31">
        <f>+C24/30</f>
        <v>1</v>
      </c>
      <c r="F24" s="13" t="s">
        <v>28</v>
      </c>
      <c r="G24" s="13" t="s">
        <v>43</v>
      </c>
    </row>
    <row r="25" spans="1:8" x14ac:dyDescent="0.4">
      <c r="A25" s="13" t="s">
        <v>30</v>
      </c>
      <c r="C25" s="29">
        <v>0.6</v>
      </c>
      <c r="D25" s="13" t="s">
        <v>88</v>
      </c>
      <c r="E25" s="31"/>
      <c r="F25" s="80">
        <v>0.4</v>
      </c>
      <c r="G25" s="13" t="s">
        <v>71</v>
      </c>
    </row>
    <row r="26" spans="1:8" x14ac:dyDescent="0.4">
      <c r="A26" s="13" t="s">
        <v>109</v>
      </c>
      <c r="B26" s="80"/>
      <c r="C26" s="29">
        <v>0.02</v>
      </c>
      <c r="D26" s="13" t="s">
        <v>110</v>
      </c>
      <c r="E26" s="31"/>
      <c r="F26" s="80"/>
    </row>
    <row r="27" spans="1:8" x14ac:dyDescent="0.4">
      <c r="A27" s="13" t="s">
        <v>111</v>
      </c>
      <c r="B27" s="80"/>
      <c r="C27" s="27">
        <v>120000</v>
      </c>
      <c r="D27" s="13" t="s">
        <v>112</v>
      </c>
      <c r="E27" s="31"/>
      <c r="F27" s="80"/>
    </row>
    <row r="28" spans="1:8" x14ac:dyDescent="0.4">
      <c r="A28" s="104" t="s">
        <v>31</v>
      </c>
      <c r="B28" s="104">
        <v>800</v>
      </c>
      <c r="C28" s="104" t="s">
        <v>67</v>
      </c>
      <c r="D28" s="105" t="s">
        <v>113</v>
      </c>
      <c r="E28" s="104"/>
      <c r="F28" s="104"/>
      <c r="G28" s="104" t="s">
        <v>89</v>
      </c>
    </row>
    <row r="29" spans="1:8" x14ac:dyDescent="0.4">
      <c r="A29" s="13" t="s">
        <v>114</v>
      </c>
      <c r="C29" s="80">
        <v>0.1</v>
      </c>
      <c r="D29" s="14" t="s">
        <v>115</v>
      </c>
    </row>
    <row r="30" spans="1:8" s="104" customFormat="1" x14ac:dyDescent="0.4">
      <c r="A30" s="104" t="s">
        <v>116</v>
      </c>
      <c r="B30" s="106">
        <v>0.2</v>
      </c>
      <c r="C30" s="104" t="s">
        <v>117</v>
      </c>
      <c r="D30" s="107">
        <v>0.4</v>
      </c>
      <c r="E30" s="104" t="s">
        <v>118</v>
      </c>
    </row>
    <row r="31" spans="1:8" x14ac:dyDescent="0.4">
      <c r="A31" s="13" t="s">
        <v>75</v>
      </c>
      <c r="B31" s="13">
        <v>700</v>
      </c>
      <c r="C31" s="13" t="s">
        <v>76</v>
      </c>
    </row>
    <row r="32" spans="1:8" x14ac:dyDescent="0.4">
      <c r="A32" s="13" t="s">
        <v>119</v>
      </c>
    </row>
    <row r="33" spans="1:6" x14ac:dyDescent="0.4">
      <c r="A33" s="13" t="s">
        <v>120</v>
      </c>
      <c r="B33" s="80"/>
      <c r="C33" s="71">
        <v>1E-3</v>
      </c>
      <c r="D33" s="80" t="s">
        <v>121</v>
      </c>
      <c r="E33" s="80"/>
      <c r="F33" s="13" t="s">
        <v>122</v>
      </c>
    </row>
    <row r="34" spans="1:6" x14ac:dyDescent="0.4">
      <c r="A34" s="13" t="s">
        <v>123</v>
      </c>
      <c r="B34" s="80"/>
    </row>
    <row r="38" spans="1:6" x14ac:dyDescent="0.4">
      <c r="B38" s="80"/>
    </row>
  </sheetData>
  <phoneticPr fontId="4" type="noConversion"/>
  <pageMargins left="0.7" right="0.7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9F3D-D160-4218-BCCB-DB73E136ED29}">
  <dimension ref="A1:M37"/>
  <sheetViews>
    <sheetView topLeftCell="A2" zoomScale="76" workbookViewId="0">
      <selection activeCell="E14" sqref="E14"/>
    </sheetView>
  </sheetViews>
  <sheetFormatPr baseColWidth="10" defaultRowHeight="14.6" x14ac:dyDescent="0.4"/>
  <cols>
    <col min="1" max="1" width="41.84375" style="2" bestFit="1" customWidth="1"/>
    <col min="2" max="7" width="12.07421875" style="2" customWidth="1"/>
    <col min="8" max="8" width="13" style="2" bestFit="1" customWidth="1"/>
    <col min="9" max="9" width="11.07421875" style="2"/>
    <col min="10" max="10" width="18.921875" style="2" customWidth="1"/>
    <col min="11" max="11" width="11.53515625" style="2" bestFit="1" customWidth="1"/>
    <col min="12" max="12" width="12.921875" style="2" bestFit="1" customWidth="1"/>
    <col min="13" max="16384" width="11.07421875" style="2"/>
  </cols>
  <sheetData>
    <row r="1" spans="1:12" ht="33" customHeight="1" thickBot="1" x14ac:dyDescent="0.45">
      <c r="A1" s="129" t="s">
        <v>32</v>
      </c>
      <c r="B1" s="129"/>
      <c r="C1" s="129"/>
      <c r="D1" s="129"/>
      <c r="E1" s="129"/>
      <c r="F1" s="129"/>
      <c r="G1" s="129"/>
      <c r="H1" s="129"/>
    </row>
    <row r="2" spans="1:12" x14ac:dyDescent="0.4">
      <c r="A2" s="133" t="s">
        <v>0</v>
      </c>
      <c r="B2" s="130" t="s">
        <v>1</v>
      </c>
      <c r="C2" s="131"/>
      <c r="D2" s="131"/>
      <c r="E2" s="131"/>
      <c r="F2" s="131"/>
      <c r="G2" s="132"/>
      <c r="H2" s="133" t="s">
        <v>2</v>
      </c>
    </row>
    <row r="3" spans="1:12" ht="15" thickBot="1" x14ac:dyDescent="0.45">
      <c r="A3" s="134"/>
      <c r="B3" s="3" t="s">
        <v>51</v>
      </c>
      <c r="C3" s="4" t="s">
        <v>63</v>
      </c>
      <c r="D3" s="64" t="s">
        <v>64</v>
      </c>
      <c r="E3" s="64" t="s">
        <v>17</v>
      </c>
      <c r="F3" s="64" t="s">
        <v>18</v>
      </c>
      <c r="G3" s="5" t="s">
        <v>19</v>
      </c>
      <c r="H3" s="134"/>
    </row>
    <row r="4" spans="1:12" ht="24.55" customHeight="1" thickBot="1" x14ac:dyDescent="0.45">
      <c r="A4" s="135" t="s">
        <v>6</v>
      </c>
      <c r="B4" s="136"/>
      <c r="C4" s="136"/>
      <c r="D4" s="136"/>
      <c r="E4" s="136"/>
      <c r="F4" s="136"/>
      <c r="G4" s="136"/>
      <c r="H4" s="137"/>
      <c r="J4" s="72"/>
      <c r="L4" s="55"/>
    </row>
    <row r="5" spans="1:12" x14ac:dyDescent="0.4">
      <c r="A5" s="8" t="s">
        <v>3</v>
      </c>
      <c r="B5" s="16">
        <f>VLOOKUP(B3,Datos!$G$12:$H$18,2,FALSE)</f>
        <v>151200</v>
      </c>
      <c r="C5" s="17">
        <f>VLOOKUP(C3,Datos!$G$12:$H$18,2,FALSE)</f>
        <v>162000</v>
      </c>
      <c r="D5" s="65">
        <f>VLOOKUP(D3,Datos!$G$12:$H$18,2,FALSE)</f>
        <v>172800</v>
      </c>
      <c r="E5" s="65">
        <f>VLOOKUP(E3,Datos!$G$12:$H$18,2,FALSE)</f>
        <v>183600</v>
      </c>
      <c r="F5" s="65">
        <f>VLOOKUP(F3,Datos!$G$12:$H$18,2,FALSE)</f>
        <v>194400</v>
      </c>
      <c r="G5" s="18">
        <f>VLOOKUP(G3,Datos!$G$12:$H$18,2,FALSE)</f>
        <v>205200</v>
      </c>
      <c r="H5" s="85">
        <f>SUM(B5:G5)</f>
        <v>1069200</v>
      </c>
      <c r="J5" s="72"/>
      <c r="K5" s="55"/>
      <c r="L5" s="55"/>
    </row>
    <row r="6" spans="1:12" ht="15" thickBot="1" x14ac:dyDescent="0.45">
      <c r="A6" s="10" t="s">
        <v>4</v>
      </c>
      <c r="B6" s="20">
        <f>-B5*(1-Datos!$C$22)</f>
        <v>-83160</v>
      </c>
      <c r="C6" s="21">
        <f>-C5*(1-Datos!$C$22)</f>
        <v>-89100</v>
      </c>
      <c r="D6" s="66">
        <f>-D5*(1-Datos!$C$22)</f>
        <v>-95040.000000000015</v>
      </c>
      <c r="E6" s="66">
        <f>-E5*(1-Datos!$C$22)</f>
        <v>-100980.00000000001</v>
      </c>
      <c r="F6" s="66">
        <f>-F5*(1-Datos!$C$22)</f>
        <v>-106920.00000000001</v>
      </c>
      <c r="G6" s="22">
        <f>-G5*(1-Datos!$C$22)</f>
        <v>-112860.00000000001</v>
      </c>
      <c r="H6" s="86">
        <f>SUM(B6:G6)</f>
        <v>-588060</v>
      </c>
      <c r="J6" s="72"/>
      <c r="K6" s="55"/>
      <c r="L6" s="55"/>
    </row>
    <row r="7" spans="1:12" ht="27" customHeight="1" thickBot="1" x14ac:dyDescent="0.45">
      <c r="A7" s="11" t="s">
        <v>5</v>
      </c>
      <c r="B7" s="88">
        <f>SUM(B5:B6)</f>
        <v>68040</v>
      </c>
      <c r="C7" s="89">
        <f>SUM(C5:C6)</f>
        <v>72900</v>
      </c>
      <c r="D7" s="89">
        <f t="shared" ref="D7:F7" si="0">SUM(D5:D6)</f>
        <v>77759.999999999985</v>
      </c>
      <c r="E7" s="89">
        <f t="shared" si="0"/>
        <v>82619.999999999985</v>
      </c>
      <c r="F7" s="89">
        <f t="shared" si="0"/>
        <v>87479.999999999985</v>
      </c>
      <c r="G7" s="87">
        <f>SUM(G5:G6)</f>
        <v>92339.999999999985</v>
      </c>
      <c r="H7" s="87">
        <f>SUM(B7:G7)</f>
        <v>481140</v>
      </c>
      <c r="J7" s="72"/>
      <c r="K7" s="55"/>
      <c r="L7" s="55"/>
    </row>
    <row r="8" spans="1:12" ht="24.55" customHeight="1" x14ac:dyDescent="0.4">
      <c r="A8" s="126" t="s">
        <v>7</v>
      </c>
      <c r="B8" s="127"/>
      <c r="C8" s="127"/>
      <c r="D8" s="127"/>
      <c r="E8" s="127"/>
      <c r="F8" s="127"/>
      <c r="G8" s="127"/>
      <c r="H8" s="128"/>
      <c r="J8" s="72"/>
      <c r="K8" s="55"/>
      <c r="L8" s="55"/>
    </row>
    <row r="9" spans="1:12" x14ac:dyDescent="0.4">
      <c r="A9" s="9" t="s">
        <v>130</v>
      </c>
      <c r="B9" s="52">
        <f>-Datos!$B$28</f>
        <v>-800</v>
      </c>
      <c r="C9" s="35">
        <f>-Datos!$B$28</f>
        <v>-800</v>
      </c>
      <c r="D9" s="70">
        <f>-Datos!$B$28</f>
        <v>-800</v>
      </c>
      <c r="E9" s="70">
        <f>-Datos!$B$28*1.25</f>
        <v>-1000</v>
      </c>
      <c r="F9" s="70">
        <f>-Datos!$B$28*1.25</f>
        <v>-1000</v>
      </c>
      <c r="G9" s="53">
        <f>-Datos!$B$28*1.25</f>
        <v>-1000</v>
      </c>
      <c r="H9" s="93">
        <f t="shared" ref="H9:H22" si="1">SUM(B9:G9)</f>
        <v>-5400</v>
      </c>
      <c r="L9" s="55"/>
    </row>
    <row r="10" spans="1:12" x14ac:dyDescent="0.4">
      <c r="A10" s="9" t="s">
        <v>109</v>
      </c>
      <c r="B10" s="52">
        <f>-B7*2%*2</f>
        <v>-2721.6</v>
      </c>
      <c r="C10" s="35">
        <f t="shared" ref="C10:F10" si="2">-C7*2%*2</f>
        <v>-2916</v>
      </c>
      <c r="D10" s="70">
        <f t="shared" si="2"/>
        <v>-3110.3999999999996</v>
      </c>
      <c r="E10" s="70">
        <f t="shared" si="2"/>
        <v>-3304.7999999999993</v>
      </c>
      <c r="F10" s="70">
        <f t="shared" si="2"/>
        <v>-3499.1999999999994</v>
      </c>
      <c r="G10" s="53">
        <f>-G7*2%*2*1.5</f>
        <v>-5540.4</v>
      </c>
      <c r="H10" s="93">
        <f t="shared" si="1"/>
        <v>-21092.399999999998</v>
      </c>
      <c r="J10" s="72"/>
      <c r="K10" s="112"/>
    </row>
    <row r="11" spans="1:12" x14ac:dyDescent="0.4">
      <c r="A11" s="9" t="s">
        <v>135</v>
      </c>
      <c r="B11" s="52"/>
      <c r="C11" s="35"/>
      <c r="D11" s="70"/>
      <c r="E11" s="70">
        <f>-Datos!H4*10%</f>
        <v>-2200</v>
      </c>
      <c r="F11" s="70"/>
      <c r="G11" s="53"/>
      <c r="H11" s="93">
        <f t="shared" si="1"/>
        <v>-2200</v>
      </c>
    </row>
    <row r="12" spans="1:12" x14ac:dyDescent="0.4">
      <c r="A12" s="9" t="s">
        <v>139</v>
      </c>
      <c r="B12" s="52">
        <v>-700</v>
      </c>
      <c r="C12" s="35">
        <v>-700</v>
      </c>
      <c r="D12" s="70">
        <v>-700</v>
      </c>
      <c r="E12" s="70">
        <v>-700</v>
      </c>
      <c r="F12" s="70">
        <v>-700</v>
      </c>
      <c r="G12" s="53">
        <v>-700</v>
      </c>
      <c r="H12" s="93">
        <f t="shared" si="1"/>
        <v>-4200</v>
      </c>
    </row>
    <row r="13" spans="1:12" x14ac:dyDescent="0.4">
      <c r="A13" s="9" t="s">
        <v>141</v>
      </c>
      <c r="B13" s="52">
        <v>700</v>
      </c>
      <c r="C13" s="35">
        <v>700</v>
      </c>
      <c r="D13" s="70">
        <v>700</v>
      </c>
      <c r="E13" s="70">
        <v>100</v>
      </c>
      <c r="F13" s="70"/>
      <c r="G13" s="53"/>
      <c r="H13" s="93">
        <f t="shared" si="1"/>
        <v>2200</v>
      </c>
    </row>
    <row r="14" spans="1:12" x14ac:dyDescent="0.4">
      <c r="A14" s="9" t="s">
        <v>144</v>
      </c>
      <c r="B14" s="52"/>
      <c r="C14" s="35"/>
      <c r="D14" s="70"/>
      <c r="E14" s="70"/>
      <c r="F14" s="70"/>
      <c r="G14" s="53">
        <f>-FINANCIERO!G12</f>
        <v>-128519.99999999999</v>
      </c>
      <c r="H14" s="93">
        <f t="shared" si="1"/>
        <v>-128519.99999999999</v>
      </c>
      <c r="J14" s="55"/>
    </row>
    <row r="15" spans="1:12" x14ac:dyDescent="0.4">
      <c r="A15" s="9" t="s">
        <v>91</v>
      </c>
      <c r="B15" s="52"/>
      <c r="C15" s="35"/>
      <c r="D15" s="70"/>
      <c r="E15" s="70"/>
      <c r="F15" s="70"/>
      <c r="G15" s="53">
        <f>-Datos!B10</f>
        <v>55520</v>
      </c>
      <c r="H15" s="93">
        <f t="shared" si="1"/>
        <v>55520</v>
      </c>
      <c r="K15" s="55"/>
    </row>
    <row r="16" spans="1:12" x14ac:dyDescent="0.4">
      <c r="A16" s="9" t="s">
        <v>147</v>
      </c>
      <c r="B16" s="52">
        <f>-$B$29*80%/(10*12)</f>
        <v>-160</v>
      </c>
      <c r="C16" s="35">
        <f t="shared" ref="C16:G16" si="3">-$B$29*80%/(10*12)</f>
        <v>-160</v>
      </c>
      <c r="D16" s="70">
        <f t="shared" si="3"/>
        <v>-160</v>
      </c>
      <c r="E16" s="70">
        <f t="shared" si="3"/>
        <v>-160</v>
      </c>
      <c r="F16" s="70">
        <f t="shared" si="3"/>
        <v>-160</v>
      </c>
      <c r="G16" s="53">
        <f t="shared" si="3"/>
        <v>-160</v>
      </c>
      <c r="H16" s="93">
        <f t="shared" si="1"/>
        <v>-960</v>
      </c>
      <c r="J16" s="72"/>
      <c r="K16" s="55"/>
      <c r="L16" s="6"/>
    </row>
    <row r="17" spans="1:13" x14ac:dyDescent="0.4">
      <c r="A17" s="9" t="s">
        <v>148</v>
      </c>
      <c r="B17" s="52">
        <f>-$E$28/(10*12)</f>
        <v>-40</v>
      </c>
      <c r="C17" s="35">
        <f>-$E$28/(10*12)</f>
        <v>-40</v>
      </c>
      <c r="D17" s="70"/>
      <c r="E17" s="70"/>
      <c r="F17" s="70"/>
      <c r="G17" s="53"/>
      <c r="H17" s="93">
        <f t="shared" si="1"/>
        <v>-80</v>
      </c>
      <c r="K17" s="55"/>
    </row>
    <row r="18" spans="1:13" x14ac:dyDescent="0.4">
      <c r="A18" s="9" t="s">
        <v>150</v>
      </c>
      <c r="B18" s="52"/>
      <c r="C18" s="35"/>
      <c r="D18" s="70">
        <f>-$B$24/(10*12)</f>
        <v>-1000</v>
      </c>
      <c r="E18" s="70">
        <f t="shared" ref="E18:G18" si="4">-$B$24/(10*12)</f>
        <v>-1000</v>
      </c>
      <c r="F18" s="70">
        <f t="shared" si="4"/>
        <v>-1000</v>
      </c>
      <c r="G18" s="53">
        <f t="shared" si="4"/>
        <v>-1000</v>
      </c>
      <c r="H18" s="93">
        <f t="shared" si="1"/>
        <v>-4000</v>
      </c>
      <c r="J18" s="55"/>
      <c r="K18" s="55"/>
      <c r="L18" s="55"/>
      <c r="M18" s="55"/>
    </row>
    <row r="19" spans="1:13" x14ac:dyDescent="0.4">
      <c r="A19" s="10" t="s">
        <v>149</v>
      </c>
      <c r="B19" s="20">
        <f>-Datos!$B$8/(50*12)</f>
        <v>-400</v>
      </c>
      <c r="C19" s="21">
        <f>-Datos!$B$8/(50*12)</f>
        <v>-400</v>
      </c>
      <c r="D19" s="66">
        <f>-Datos!$B$8/(50*12)</f>
        <v>-400</v>
      </c>
      <c r="E19" s="66">
        <f>-Datos!$B$8/(50*12)</f>
        <v>-400</v>
      </c>
      <c r="F19" s="66">
        <f>-Datos!$B$8/(50*12)</f>
        <v>-400</v>
      </c>
      <c r="G19" s="22">
        <f>-Datos!$B$8/(50*12)</f>
        <v>-400</v>
      </c>
      <c r="H19" s="93">
        <f t="shared" si="1"/>
        <v>-2400</v>
      </c>
      <c r="K19" s="72"/>
      <c r="L19" s="55"/>
    </row>
    <row r="20" spans="1:13" x14ac:dyDescent="0.4">
      <c r="A20" s="10" t="s">
        <v>158</v>
      </c>
      <c r="B20" s="20"/>
      <c r="C20" s="21">
        <f>+E32</f>
        <v>1600</v>
      </c>
      <c r="D20" s="66"/>
      <c r="E20" s="66"/>
      <c r="F20" s="66"/>
      <c r="G20" s="22"/>
      <c r="H20" s="93">
        <f t="shared" si="1"/>
        <v>1600</v>
      </c>
      <c r="K20" s="72"/>
      <c r="L20" s="55"/>
    </row>
    <row r="21" spans="1:13" x14ac:dyDescent="0.4">
      <c r="A21" s="10" t="s">
        <v>164</v>
      </c>
      <c r="B21" s="20"/>
      <c r="C21" s="21"/>
      <c r="D21" s="66"/>
      <c r="E21" s="66">
        <f>-I27*I28</f>
        <v>-3590</v>
      </c>
      <c r="F21" s="66"/>
      <c r="G21" s="22"/>
      <c r="H21" s="93">
        <f t="shared" si="1"/>
        <v>-3590</v>
      </c>
      <c r="K21" s="72"/>
      <c r="L21" s="55"/>
    </row>
    <row r="22" spans="1:13" ht="15" thickBot="1" x14ac:dyDescent="0.45">
      <c r="A22" s="10"/>
      <c r="B22" s="36"/>
      <c r="C22" s="37"/>
      <c r="D22" s="68"/>
      <c r="E22" s="68"/>
      <c r="F22" s="68"/>
      <c r="G22" s="38"/>
      <c r="H22" s="86">
        <f t="shared" si="1"/>
        <v>0</v>
      </c>
      <c r="K22" s="55"/>
    </row>
    <row r="23" spans="1:13" ht="15" thickBot="1" x14ac:dyDescent="0.45">
      <c r="A23" s="11" t="s">
        <v>8</v>
      </c>
      <c r="B23" s="102">
        <f t="shared" ref="B23:G23" si="5">SUM(B9:B22)+B7</f>
        <v>63918.400000000001</v>
      </c>
      <c r="C23" s="90">
        <f t="shared" si="5"/>
        <v>70184</v>
      </c>
      <c r="D23" s="90">
        <f t="shared" si="5"/>
        <v>72289.599999999991</v>
      </c>
      <c r="E23" s="90">
        <f t="shared" si="5"/>
        <v>70365.199999999983</v>
      </c>
      <c r="F23" s="90">
        <f t="shared" si="5"/>
        <v>80720.799999999988</v>
      </c>
      <c r="G23" s="91">
        <f t="shared" si="5"/>
        <v>10539.599999999991</v>
      </c>
      <c r="H23" s="113">
        <f t="shared" ref="H23" si="6">SUM(B23:G23)</f>
        <v>368017.59999999992</v>
      </c>
    </row>
    <row r="24" spans="1:13" x14ac:dyDescent="0.4">
      <c r="A24" s="72" t="s">
        <v>92</v>
      </c>
      <c r="B24" s="55">
        <v>120000</v>
      </c>
      <c r="C24" s="96"/>
      <c r="D24" s="55"/>
      <c r="E24" s="55"/>
      <c r="F24" s="55"/>
      <c r="G24" s="55"/>
    </row>
    <row r="25" spans="1:13" x14ac:dyDescent="0.4">
      <c r="A25" s="72" t="s">
        <v>129</v>
      </c>
      <c r="B25" s="55">
        <f>+Datos!B6</f>
        <v>24000</v>
      </c>
      <c r="C25" s="55"/>
      <c r="D25" s="55"/>
      <c r="E25" s="55"/>
      <c r="F25" s="55"/>
      <c r="G25" s="55"/>
      <c r="H25" s="6"/>
    </row>
    <row r="26" spans="1:13" x14ac:dyDescent="0.4">
      <c r="A26" s="72" t="s">
        <v>68</v>
      </c>
      <c r="B26" s="2">
        <v>10</v>
      </c>
      <c r="C26" s="2">
        <v>10</v>
      </c>
      <c r="D26" s="2">
        <v>10</v>
      </c>
      <c r="E26" s="2">
        <v>10</v>
      </c>
      <c r="F26" s="2">
        <v>10</v>
      </c>
      <c r="G26" s="2">
        <v>10</v>
      </c>
    </row>
    <row r="27" spans="1:13" ht="26.15" customHeight="1" x14ac:dyDescent="0.4">
      <c r="H27" s="72" t="s">
        <v>165</v>
      </c>
      <c r="I27" s="55">
        <f>+'Pasivo + PN'!K5</f>
        <v>14360</v>
      </c>
    </row>
    <row r="28" spans="1:13" x14ac:dyDescent="0.4">
      <c r="A28" s="72" t="s">
        <v>146</v>
      </c>
      <c r="B28" s="96">
        <v>0.2</v>
      </c>
      <c r="C28" s="59"/>
      <c r="D28" s="59"/>
      <c r="E28" s="59">
        <f>+B29*B28</f>
        <v>4800</v>
      </c>
      <c r="F28" s="59"/>
      <c r="G28" s="59"/>
      <c r="H28" s="55" t="s">
        <v>166</v>
      </c>
      <c r="I28" s="96">
        <v>0.25</v>
      </c>
    </row>
    <row r="29" spans="1:13" x14ac:dyDescent="0.4">
      <c r="A29" s="72" t="s">
        <v>151</v>
      </c>
      <c r="B29" s="59">
        <f>+Datos!B6</f>
        <v>24000</v>
      </c>
      <c r="C29" s="59"/>
      <c r="D29" s="59" t="s">
        <v>153</v>
      </c>
      <c r="E29" s="59">
        <f>+B30/B29*E28</f>
        <v>-720</v>
      </c>
      <c r="F29" s="59"/>
      <c r="G29" s="59"/>
      <c r="H29" s="55"/>
    </row>
    <row r="30" spans="1:13" x14ac:dyDescent="0.4">
      <c r="A30" s="2" t="s">
        <v>152</v>
      </c>
      <c r="B30" s="55">
        <f>+Datos!B7</f>
        <v>-3600</v>
      </c>
      <c r="C30" s="59"/>
      <c r="D30" s="59" t="s">
        <v>154</v>
      </c>
      <c r="E30" s="122">
        <f>+H17</f>
        <v>-80</v>
      </c>
      <c r="F30" s="59"/>
      <c r="G30" s="59"/>
      <c r="H30" s="55"/>
    </row>
    <row r="31" spans="1:13" x14ac:dyDescent="0.4">
      <c r="A31" s="55">
        <f>+B30-E29</f>
        <v>-2880</v>
      </c>
      <c r="C31" s="59"/>
      <c r="D31" s="59" t="s">
        <v>155</v>
      </c>
      <c r="E31" s="59">
        <f>SUM(E28:E30)</f>
        <v>4000</v>
      </c>
      <c r="F31" s="59"/>
      <c r="G31" s="59"/>
      <c r="H31" s="55"/>
    </row>
    <row r="32" spans="1:13" x14ac:dyDescent="0.4">
      <c r="A32" s="55">
        <f>+A31+H16</f>
        <v>-3840</v>
      </c>
      <c r="C32" s="59"/>
      <c r="D32" s="59" t="s">
        <v>156</v>
      </c>
      <c r="E32" s="59">
        <f>+E31*40%</f>
        <v>1600</v>
      </c>
      <c r="F32" s="59"/>
      <c r="G32" s="59"/>
      <c r="H32" s="55"/>
    </row>
    <row r="33" spans="3:10" x14ac:dyDescent="0.4">
      <c r="C33" s="59"/>
      <c r="D33" s="59" t="s">
        <v>157</v>
      </c>
      <c r="E33" s="35">
        <f>+E32+E31</f>
        <v>5600</v>
      </c>
      <c r="F33" s="59"/>
      <c r="G33" s="59"/>
      <c r="H33" s="55"/>
      <c r="I33" s="6"/>
      <c r="J33" s="6"/>
    </row>
    <row r="34" spans="3:10" x14ac:dyDescent="0.4">
      <c r="C34" s="59"/>
      <c r="D34" s="59"/>
      <c r="E34" s="59"/>
      <c r="F34" s="59"/>
      <c r="G34" s="59"/>
      <c r="H34" s="55"/>
    </row>
    <row r="35" spans="3:10" x14ac:dyDescent="0.4">
      <c r="C35" s="59"/>
      <c r="D35" s="59"/>
      <c r="E35" s="59"/>
      <c r="F35" s="59"/>
      <c r="G35" s="59"/>
      <c r="H35" s="55"/>
    </row>
    <row r="36" spans="3:10" x14ac:dyDescent="0.4">
      <c r="C36" s="59"/>
      <c r="D36" s="59"/>
      <c r="E36" s="59"/>
      <c r="F36" s="59"/>
      <c r="G36" s="59"/>
      <c r="H36" s="55"/>
    </row>
    <row r="37" spans="3:10" x14ac:dyDescent="0.4">
      <c r="C37" s="72"/>
      <c r="D37" s="59"/>
      <c r="E37" s="59"/>
      <c r="F37" s="59"/>
      <c r="G37" s="72"/>
    </row>
  </sheetData>
  <mergeCells count="6">
    <mergeCell ref="A8:H8"/>
    <mergeCell ref="A1:H1"/>
    <mergeCell ref="B2:G2"/>
    <mergeCell ref="A2:A3"/>
    <mergeCell ref="H2:H3"/>
    <mergeCell ref="A4:H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E233-A870-4EDF-A5BF-4A28655E22C8}">
  <sheetPr>
    <pageSetUpPr fitToPage="1"/>
  </sheetPr>
  <dimension ref="A1:X46"/>
  <sheetViews>
    <sheetView showZeros="0" zoomScale="64" zoomScaleNormal="50" workbookViewId="0">
      <selection activeCell="K16" sqref="K16"/>
    </sheetView>
  </sheetViews>
  <sheetFormatPr baseColWidth="10" defaultRowHeight="14.6" x14ac:dyDescent="0.4"/>
  <cols>
    <col min="1" max="1" width="71.61328125" style="2" bestFit="1" customWidth="1"/>
    <col min="2" max="7" width="12.07421875" style="2" customWidth="1"/>
    <col min="8" max="8" width="13.15234375" style="2" bestFit="1" customWidth="1"/>
    <col min="9" max="9" width="12.07421875" style="2" customWidth="1"/>
    <col min="10" max="10" width="11.3046875" style="2" bestFit="1" customWidth="1"/>
    <col min="11" max="11" width="13.3828125" style="2" customWidth="1"/>
    <col min="12" max="12" width="10" style="2" bestFit="1" customWidth="1"/>
    <col min="13" max="13" width="23.61328125" style="2" customWidth="1"/>
    <col min="14" max="14" width="17.07421875" style="2" bestFit="1" customWidth="1"/>
    <col min="15" max="16" width="8.23046875" style="2" customWidth="1"/>
    <col min="17" max="17" width="8.53515625" style="2" customWidth="1"/>
    <col min="18" max="18" width="8.23046875" style="2" customWidth="1"/>
    <col min="19" max="19" width="11.07421875" style="2"/>
    <col min="20" max="20" width="11.15234375" style="2" bestFit="1" customWidth="1"/>
    <col min="21" max="21" width="11.3046875" style="2" bestFit="1" customWidth="1"/>
    <col min="22" max="16384" width="11.07421875" style="2"/>
  </cols>
  <sheetData>
    <row r="1" spans="1:24" ht="33" customHeight="1" thickBot="1" x14ac:dyDescent="0.45">
      <c r="A1" s="129" t="s">
        <v>33</v>
      </c>
      <c r="B1" s="129"/>
      <c r="C1" s="129"/>
      <c r="D1" s="129"/>
      <c r="E1" s="129"/>
      <c r="F1" s="129"/>
      <c r="G1" s="129"/>
      <c r="H1" s="129"/>
      <c r="I1" s="129"/>
      <c r="M1" s="138" t="s">
        <v>34</v>
      </c>
      <c r="N1" s="139"/>
      <c r="O1" s="139"/>
      <c r="P1" s="139"/>
      <c r="Q1" s="139"/>
      <c r="R1" s="140"/>
      <c r="W1" s="83"/>
      <c r="X1" s="83"/>
    </row>
    <row r="2" spans="1:24" ht="15" thickBot="1" x14ac:dyDescent="0.45">
      <c r="A2" s="133" t="s">
        <v>0</v>
      </c>
      <c r="B2" s="130" t="s">
        <v>1</v>
      </c>
      <c r="C2" s="131"/>
      <c r="D2" s="131"/>
      <c r="E2" s="131"/>
      <c r="F2" s="131"/>
      <c r="G2" s="132"/>
      <c r="H2" s="133" t="s">
        <v>2</v>
      </c>
      <c r="I2" s="133" t="s">
        <v>44</v>
      </c>
      <c r="N2" s="39" t="s">
        <v>37</v>
      </c>
      <c r="O2" s="40" t="s">
        <v>36</v>
      </c>
      <c r="P2" s="45" t="s">
        <v>35</v>
      </c>
      <c r="Q2" s="40" t="s">
        <v>40</v>
      </c>
      <c r="R2" s="41" t="s">
        <v>41</v>
      </c>
      <c r="S2" s="6"/>
    </row>
    <row r="3" spans="1:24" ht="15" thickBot="1" x14ac:dyDescent="0.45">
      <c r="A3" s="134"/>
      <c r="B3" s="3" t="s">
        <v>51</v>
      </c>
      <c r="C3" s="4" t="s">
        <v>63</v>
      </c>
      <c r="D3" s="64" t="s">
        <v>64</v>
      </c>
      <c r="E3" s="64" t="s">
        <v>17</v>
      </c>
      <c r="F3" s="64" t="s">
        <v>18</v>
      </c>
      <c r="G3" s="5" t="s">
        <v>19</v>
      </c>
      <c r="H3" s="134"/>
      <c r="I3" s="134"/>
      <c r="M3" s="1" t="s">
        <v>14</v>
      </c>
      <c r="N3" s="12"/>
      <c r="O3" s="7"/>
      <c r="P3" s="47"/>
      <c r="Q3" s="79">
        <v>0.3</v>
      </c>
      <c r="R3" s="94">
        <v>0.7</v>
      </c>
      <c r="S3" s="6"/>
    </row>
    <row r="4" spans="1:24" ht="24.55" customHeight="1" thickBot="1" x14ac:dyDescent="0.45">
      <c r="A4" s="135" t="s">
        <v>6</v>
      </c>
      <c r="B4" s="136"/>
      <c r="C4" s="136"/>
      <c r="D4" s="136"/>
      <c r="E4" s="136"/>
      <c r="F4" s="136"/>
      <c r="G4" s="136"/>
      <c r="H4" s="136"/>
      <c r="I4" s="137"/>
      <c r="M4" s="43" t="s">
        <v>38</v>
      </c>
      <c r="N4" s="42"/>
      <c r="O4" s="48">
        <v>0.6</v>
      </c>
      <c r="P4" s="81"/>
      <c r="Q4" s="48">
        <v>0.4</v>
      </c>
      <c r="R4" s="95"/>
      <c r="S4" s="6"/>
      <c r="T4" s="2" t="s">
        <v>69</v>
      </c>
    </row>
    <row r="5" spans="1:24" ht="15" thickBot="1" x14ac:dyDescent="0.45">
      <c r="A5" s="8" t="s">
        <v>10</v>
      </c>
      <c r="B5" s="16">
        <f>+Datos!B3</f>
        <v>80000</v>
      </c>
      <c r="C5" s="17"/>
      <c r="D5" s="65"/>
      <c r="E5" s="65"/>
      <c r="F5" s="65"/>
      <c r="G5" s="18"/>
      <c r="H5" s="19">
        <f>SUM(B5:G5)</f>
        <v>80000</v>
      </c>
      <c r="I5" s="19"/>
      <c r="M5" s="44" t="s">
        <v>39</v>
      </c>
      <c r="N5" s="3"/>
      <c r="O5" s="4" t="s">
        <v>35</v>
      </c>
      <c r="P5" s="46"/>
      <c r="Q5" s="4"/>
      <c r="R5" s="5"/>
      <c r="S5" s="6"/>
      <c r="T5" s="2" t="s">
        <v>20</v>
      </c>
      <c r="U5" s="55">
        <f t="shared" ref="U5:U8" si="0">+N21</f>
        <v>0</v>
      </c>
    </row>
    <row r="6" spans="1:24" x14ac:dyDescent="0.4">
      <c r="A6" s="74" t="s">
        <v>47</v>
      </c>
      <c r="B6" s="52"/>
      <c r="C6" s="35"/>
      <c r="D6" s="70"/>
      <c r="E6" s="70"/>
      <c r="F6" s="70"/>
      <c r="G6" s="53"/>
      <c r="H6" s="54">
        <f t="shared" ref="H6:H18" si="1">SUM(B6:G6)</f>
        <v>0</v>
      </c>
      <c r="I6" s="54"/>
      <c r="M6" s="82" t="s">
        <v>72</v>
      </c>
      <c r="N6" s="84" t="s">
        <v>128</v>
      </c>
      <c r="O6" s="82"/>
      <c r="P6" s="83"/>
      <c r="Q6" s="83"/>
      <c r="R6" s="83"/>
      <c r="S6" s="6"/>
      <c r="T6" s="2" t="s">
        <v>21</v>
      </c>
      <c r="U6" s="55">
        <f t="shared" si="0"/>
        <v>0</v>
      </c>
    </row>
    <row r="7" spans="1:24" ht="16.3" customHeight="1" x14ac:dyDescent="0.4">
      <c r="A7" s="9" t="str">
        <f>+"vendo en "&amp;P8&amp;" cobrando 30% en "&amp;Q8&amp;" y 70% en "&amp;R8</f>
        <v>vendo en mayo cobrando 30% en junio y 70% en julio</v>
      </c>
      <c r="B7" s="52">
        <f>+M26*70%</f>
        <v>75600</v>
      </c>
      <c r="C7" s="35"/>
      <c r="D7" s="70"/>
      <c r="E7" s="70"/>
      <c r="F7" s="70"/>
      <c r="G7" s="53"/>
      <c r="H7" s="54">
        <f t="shared" si="1"/>
        <v>75600</v>
      </c>
      <c r="I7" s="54"/>
      <c r="J7" s="55"/>
      <c r="P7" s="2" t="s">
        <v>42</v>
      </c>
      <c r="S7" s="6"/>
      <c r="T7" s="2" t="s">
        <v>22</v>
      </c>
      <c r="U7" s="55">
        <f t="shared" si="0"/>
        <v>0</v>
      </c>
    </row>
    <row r="8" spans="1:24" ht="16.3" customHeight="1" x14ac:dyDescent="0.4">
      <c r="A8" s="9" t="str">
        <f t="shared" ref="A8:A14" si="2">+"vendo en "&amp;P9&amp;" cobrando 30% en "&amp;Q9&amp;" y 70% en "&amp;R9</f>
        <v>vendo en junio cobrando 30% en julio y 70% en agosto</v>
      </c>
      <c r="B8" s="20">
        <f>+M29*30%</f>
        <v>39000</v>
      </c>
      <c r="C8" s="21">
        <f>+M29*70%</f>
        <v>91000</v>
      </c>
      <c r="D8" s="70"/>
      <c r="E8" s="70"/>
      <c r="F8" s="70"/>
      <c r="G8" s="53"/>
      <c r="H8" s="54">
        <f t="shared" si="1"/>
        <v>130000</v>
      </c>
      <c r="I8" s="54"/>
      <c r="J8" s="101"/>
      <c r="O8" s="2" t="s">
        <v>23</v>
      </c>
      <c r="P8" s="2" t="s">
        <v>24</v>
      </c>
      <c r="Q8" s="2" t="s">
        <v>50</v>
      </c>
      <c r="R8" s="2" t="s">
        <v>51</v>
      </c>
      <c r="S8" s="6"/>
      <c r="T8" s="2" t="s">
        <v>23</v>
      </c>
      <c r="U8" s="55" t="str">
        <f t="shared" si="0"/>
        <v>COMPRAS</v>
      </c>
    </row>
    <row r="9" spans="1:24" ht="16.3" customHeight="1" x14ac:dyDescent="0.4">
      <c r="A9" s="9" t="str">
        <f t="shared" si="2"/>
        <v>vendo en julio cobrando 30% en agosto y 70% en septiembre</v>
      </c>
      <c r="B9" s="20"/>
      <c r="C9" s="21">
        <f>+M31*30%</f>
        <v>45360</v>
      </c>
      <c r="D9" s="66">
        <f>+M31*70%</f>
        <v>105840</v>
      </c>
      <c r="E9" s="66"/>
      <c r="F9" s="66"/>
      <c r="G9" s="22"/>
      <c r="H9" s="23">
        <f t="shared" si="1"/>
        <v>151200</v>
      </c>
      <c r="I9" s="23"/>
      <c r="N9" s="49"/>
      <c r="O9" s="2" t="s">
        <v>24</v>
      </c>
      <c r="P9" s="2" t="s">
        <v>50</v>
      </c>
      <c r="Q9" s="2" t="s">
        <v>51</v>
      </c>
      <c r="R9" s="2" t="s">
        <v>63</v>
      </c>
      <c r="S9" s="6"/>
      <c r="T9" s="2" t="s">
        <v>24</v>
      </c>
      <c r="U9" s="55">
        <f>+N26</f>
        <v>59400.000000000007</v>
      </c>
    </row>
    <row r="10" spans="1:24" ht="16.3" customHeight="1" x14ac:dyDescent="0.4">
      <c r="A10" s="9" t="str">
        <f t="shared" si="2"/>
        <v>vendo en agosto cobrando 30% en septiembre y 70% en octubre</v>
      </c>
      <c r="B10" s="20"/>
      <c r="C10" s="21"/>
      <c r="D10" s="21">
        <f>+M32*30%</f>
        <v>48600</v>
      </c>
      <c r="E10" s="66">
        <f>+M32*70%</f>
        <v>113400</v>
      </c>
      <c r="F10" s="66"/>
      <c r="G10" s="22"/>
      <c r="H10" s="23">
        <f t="shared" si="1"/>
        <v>162000</v>
      </c>
      <c r="I10" s="23"/>
      <c r="N10" s="49"/>
      <c r="O10" s="2" t="s">
        <v>50</v>
      </c>
      <c r="P10" s="50" t="s">
        <v>51</v>
      </c>
      <c r="Q10" s="49" t="s">
        <v>63</v>
      </c>
      <c r="R10" s="2" t="s">
        <v>64</v>
      </c>
      <c r="S10" s="6"/>
      <c r="T10" s="2" t="s">
        <v>50</v>
      </c>
      <c r="U10" s="55">
        <f>+N29</f>
        <v>71500</v>
      </c>
    </row>
    <row r="11" spans="1:24" ht="16.3" customHeight="1" x14ac:dyDescent="0.4">
      <c r="A11" s="9" t="str">
        <f t="shared" si="2"/>
        <v>vendo en septiembre cobrando 30% en octubre y 70% en noviembre</v>
      </c>
      <c r="B11" s="20"/>
      <c r="C11" s="21"/>
      <c r="D11" s="66"/>
      <c r="E11" s="21">
        <f>+M33*30%</f>
        <v>51840</v>
      </c>
      <c r="F11" s="66">
        <f>+M33*70%</f>
        <v>120959.99999999999</v>
      </c>
      <c r="G11" s="22"/>
      <c r="H11" s="23">
        <f t="shared" si="1"/>
        <v>172800</v>
      </c>
      <c r="I11" s="23"/>
      <c r="N11" s="49"/>
      <c r="O11" s="2" t="s">
        <v>51</v>
      </c>
      <c r="P11" s="50" t="s">
        <v>63</v>
      </c>
      <c r="Q11" s="49" t="s">
        <v>64</v>
      </c>
      <c r="R11" s="2" t="s">
        <v>17</v>
      </c>
      <c r="S11" s="6"/>
      <c r="T11" s="2" t="s">
        <v>51</v>
      </c>
      <c r="U11" s="55">
        <f>+N31</f>
        <v>83160</v>
      </c>
    </row>
    <row r="12" spans="1:24" ht="16.3" customHeight="1" x14ac:dyDescent="0.4">
      <c r="A12" s="114" t="str">
        <f t="shared" si="2"/>
        <v>vendo en octubre cobrando 30% en noviembre y 70% en diciembre</v>
      </c>
      <c r="B12" s="115"/>
      <c r="C12" s="116"/>
      <c r="D12" s="117"/>
      <c r="E12" s="117"/>
      <c r="F12" s="118">
        <f>+M34*30%</f>
        <v>55080</v>
      </c>
      <c r="G12" s="119">
        <f>+M34*70%</f>
        <v>128519.99999999999</v>
      </c>
      <c r="H12" s="120">
        <f t="shared" si="1"/>
        <v>183600</v>
      </c>
      <c r="I12" s="120"/>
      <c r="N12" s="49"/>
      <c r="O12" s="2" t="s">
        <v>63</v>
      </c>
      <c r="P12" s="50" t="s">
        <v>64</v>
      </c>
      <c r="Q12" s="49" t="s">
        <v>17</v>
      </c>
      <c r="R12" s="2" t="s">
        <v>18</v>
      </c>
      <c r="S12" s="6"/>
      <c r="T12" s="2" t="s">
        <v>63</v>
      </c>
      <c r="U12" s="55">
        <f>+N32</f>
        <v>89100</v>
      </c>
    </row>
    <row r="13" spans="1:24" ht="16.3" customHeight="1" x14ac:dyDescent="0.4">
      <c r="A13" s="9" t="str">
        <f t="shared" si="2"/>
        <v>vendo en noviembre cobrando 30% en diciembre y 70% en enero</v>
      </c>
      <c r="B13" s="20"/>
      <c r="C13" s="21"/>
      <c r="D13" s="66"/>
      <c r="E13" s="66"/>
      <c r="F13" s="66"/>
      <c r="G13" s="22">
        <f>+M35*30%</f>
        <v>58320</v>
      </c>
      <c r="H13" s="23">
        <f t="shared" si="1"/>
        <v>58320</v>
      </c>
      <c r="I13" s="23">
        <f>+M35*70%</f>
        <v>136080</v>
      </c>
      <c r="K13" s="55">
        <f>+I13+I14</f>
        <v>341280</v>
      </c>
      <c r="N13" s="49"/>
      <c r="O13" s="2" t="s">
        <v>64</v>
      </c>
      <c r="P13" s="50" t="s">
        <v>17</v>
      </c>
      <c r="Q13" s="49" t="s">
        <v>18</v>
      </c>
      <c r="R13" s="2" t="s">
        <v>19</v>
      </c>
      <c r="S13" s="6"/>
      <c r="U13" s="55"/>
    </row>
    <row r="14" spans="1:24" x14ac:dyDescent="0.4">
      <c r="A14" s="9" t="str">
        <f t="shared" si="2"/>
        <v>vendo en diciembre cobrando 30% en enero y 70% en febrero</v>
      </c>
      <c r="B14" s="20"/>
      <c r="C14" s="21"/>
      <c r="D14" s="66"/>
      <c r="E14" s="66"/>
      <c r="F14" s="66"/>
      <c r="G14" s="22"/>
      <c r="H14" s="23">
        <f t="shared" si="1"/>
        <v>0</v>
      </c>
      <c r="I14" s="23">
        <f>+M36</f>
        <v>205200</v>
      </c>
      <c r="N14" s="49"/>
      <c r="O14" s="2" t="s">
        <v>17</v>
      </c>
      <c r="P14" s="50" t="s">
        <v>18</v>
      </c>
      <c r="Q14" s="49" t="s">
        <v>19</v>
      </c>
      <c r="R14" s="2" t="s">
        <v>20</v>
      </c>
      <c r="S14" s="6"/>
      <c r="T14" s="2" t="s">
        <v>64</v>
      </c>
      <c r="U14" s="55">
        <f t="shared" ref="U14:U17" si="3">+N33</f>
        <v>95040.000000000015</v>
      </c>
    </row>
    <row r="15" spans="1:24" ht="15.9" customHeight="1" x14ac:dyDescent="0.4">
      <c r="A15" s="9" t="s">
        <v>133</v>
      </c>
      <c r="B15" s="20"/>
      <c r="C15" s="21"/>
      <c r="D15" s="66"/>
      <c r="E15" s="66">
        <f>+Datos!H4</f>
        <v>22000</v>
      </c>
      <c r="F15" s="66"/>
      <c r="G15" s="22"/>
      <c r="H15" s="23">
        <f t="shared" si="1"/>
        <v>22000</v>
      </c>
      <c r="I15" s="23"/>
      <c r="N15" s="49"/>
      <c r="O15" s="2" t="s">
        <v>18</v>
      </c>
      <c r="P15" s="50" t="s">
        <v>19</v>
      </c>
      <c r="Q15" s="49" t="s">
        <v>20</v>
      </c>
      <c r="R15" s="2" t="s">
        <v>21</v>
      </c>
      <c r="S15" s="6"/>
      <c r="T15" s="2" t="s">
        <v>17</v>
      </c>
      <c r="U15" s="55">
        <f t="shared" si="3"/>
        <v>100980.00000000001</v>
      </c>
    </row>
    <row r="16" spans="1:24" x14ac:dyDescent="0.4">
      <c r="A16" s="9" t="s">
        <v>159</v>
      </c>
      <c r="B16" s="20"/>
      <c r="C16" s="21"/>
      <c r="D16" s="66">
        <f>+ECONÓMICO!$E$33/5</f>
        <v>1120</v>
      </c>
      <c r="E16" s="66">
        <f>+ECONÓMICO!$E$33/5</f>
        <v>1120</v>
      </c>
      <c r="F16" s="66">
        <f>+ECONÓMICO!$E$33/5</f>
        <v>1120</v>
      </c>
      <c r="G16" s="22">
        <f>+ECONÓMICO!$E$33/5</f>
        <v>1120</v>
      </c>
      <c r="H16" s="23">
        <f>SUM(B16:G16)</f>
        <v>4480</v>
      </c>
      <c r="I16" s="23">
        <f>+ECONÓMICO!$E$33/5</f>
        <v>1120</v>
      </c>
      <c r="K16" s="55"/>
      <c r="O16" s="2" t="s">
        <v>19</v>
      </c>
      <c r="P16" s="2" t="s">
        <v>20</v>
      </c>
      <c r="Q16" s="49" t="s">
        <v>21</v>
      </c>
      <c r="R16" s="2" t="s">
        <v>22</v>
      </c>
      <c r="S16" s="6"/>
      <c r="T16" s="2" t="s">
        <v>18</v>
      </c>
      <c r="U16" s="55">
        <f t="shared" si="3"/>
        <v>106920.00000000001</v>
      </c>
    </row>
    <row r="17" spans="1:21" x14ac:dyDescent="0.4">
      <c r="A17" s="9" t="s">
        <v>163</v>
      </c>
      <c r="B17" s="20"/>
      <c r="C17" s="21"/>
      <c r="D17" s="66"/>
      <c r="E17" s="66"/>
      <c r="F17" s="66">
        <f>+ECONÓMICO!I27+ECONÓMICO!E21</f>
        <v>10770</v>
      </c>
      <c r="G17" s="22"/>
      <c r="H17" s="23">
        <f t="shared" si="1"/>
        <v>10770</v>
      </c>
      <c r="I17" s="23"/>
      <c r="O17" s="2" t="s">
        <v>20</v>
      </c>
      <c r="P17" s="2" t="s">
        <v>21</v>
      </c>
      <c r="Q17" s="49" t="s">
        <v>22</v>
      </c>
      <c r="R17" s="2" t="s">
        <v>23</v>
      </c>
      <c r="S17" s="6"/>
      <c r="T17" s="2" t="s">
        <v>19</v>
      </c>
      <c r="U17" s="55">
        <f t="shared" si="3"/>
        <v>112860.00000000001</v>
      </c>
    </row>
    <row r="18" spans="1:21" ht="15" thickBot="1" x14ac:dyDescent="0.45">
      <c r="A18" s="75"/>
      <c r="B18" s="36"/>
      <c r="C18" s="37"/>
      <c r="D18" s="68"/>
      <c r="E18" s="68"/>
      <c r="F18" s="68">
        <f>IF(F$3=$A18,VLOOKUP(F$3,Datos!$G$12:$H$18,2,FALSE)*0.7,IF($A18=E$3,VLOOKUP($A18,Datos!$G$12:$H$18,2,FALSE)*0.3,0))</f>
        <v>0</v>
      </c>
      <c r="G18" s="38">
        <f>IF(G$3=$A18,VLOOKUP(G$3,Datos!$G$12:$H$18,2,FALSE)*0.7,IF($A18=F$3,VLOOKUP($A18,Datos!$G$12:$H$18,2,FALSE)*0.3,0))</f>
        <v>0</v>
      </c>
      <c r="H18" s="73">
        <f t="shared" si="1"/>
        <v>0</v>
      </c>
      <c r="I18" s="73"/>
      <c r="O18" s="2" t="s">
        <v>20</v>
      </c>
      <c r="P18" s="2" t="s">
        <v>21</v>
      </c>
      <c r="Q18" s="49" t="s">
        <v>22</v>
      </c>
      <c r="S18" s="6"/>
      <c r="T18" s="2" t="s">
        <v>20</v>
      </c>
      <c r="U18" s="55">
        <f>+N37</f>
        <v>118800.00000000001</v>
      </c>
    </row>
    <row r="19" spans="1:21" ht="15" thickBot="1" x14ac:dyDescent="0.45">
      <c r="A19" s="11" t="s">
        <v>45</v>
      </c>
      <c r="B19" s="24">
        <f t="shared" ref="B19:H19" si="4">SUM(B5:B18)</f>
        <v>194600</v>
      </c>
      <c r="C19" s="25">
        <f t="shared" si="4"/>
        <v>136360</v>
      </c>
      <c r="D19" s="67">
        <f t="shared" si="4"/>
        <v>155560</v>
      </c>
      <c r="E19" s="67">
        <f t="shared" si="4"/>
        <v>188360</v>
      </c>
      <c r="F19" s="67">
        <f t="shared" si="4"/>
        <v>187930</v>
      </c>
      <c r="G19" s="26">
        <f t="shared" si="4"/>
        <v>187960</v>
      </c>
      <c r="H19" s="26">
        <f t="shared" si="4"/>
        <v>1050770</v>
      </c>
      <c r="I19" s="26"/>
      <c r="S19" s="6"/>
    </row>
    <row r="20" spans="1:21" ht="18.899999999999999" thickBot="1" x14ac:dyDescent="0.45">
      <c r="A20" s="135" t="s">
        <v>7</v>
      </c>
      <c r="B20" s="136"/>
      <c r="C20" s="136"/>
      <c r="D20" s="136"/>
      <c r="E20" s="136"/>
      <c r="F20" s="136"/>
      <c r="G20" s="136"/>
      <c r="H20" s="136"/>
      <c r="I20" s="137"/>
      <c r="N20" s="108" t="s">
        <v>125</v>
      </c>
      <c r="O20" s="96">
        <f>100%-T20</f>
        <v>0.55000000000000004</v>
      </c>
      <c r="P20" s="6" t="s">
        <v>124</v>
      </c>
      <c r="S20" s="6"/>
      <c r="T20" s="96">
        <f>+Datos!$C$22</f>
        <v>0.45</v>
      </c>
    </row>
    <row r="21" spans="1:21" x14ac:dyDescent="0.4">
      <c r="A21" s="97" t="s">
        <v>130</v>
      </c>
      <c r="B21" s="16">
        <f>-Datos!H5</f>
        <v>-800</v>
      </c>
      <c r="C21" s="17">
        <f>+ECONÓMICO!B9</f>
        <v>-800</v>
      </c>
      <c r="D21" s="17">
        <f>+ECONÓMICO!C9</f>
        <v>-800</v>
      </c>
      <c r="E21" s="17">
        <f>+ECONÓMICO!D9</f>
        <v>-800</v>
      </c>
      <c r="F21" s="17">
        <f>+ECONÓMICO!E9</f>
        <v>-1000</v>
      </c>
      <c r="G21" s="65">
        <f>+ECONÓMICO!F9</f>
        <v>-1000</v>
      </c>
      <c r="H21" s="76">
        <f>SUM(B21:G21)</f>
        <v>-5200</v>
      </c>
      <c r="I21" s="19">
        <f>-ECONÓMICO!G9</f>
        <v>1000</v>
      </c>
      <c r="L21" s="55" t="str">
        <f>+Datos!A14</f>
        <v>enero</v>
      </c>
      <c r="M21" s="55">
        <f>+Datos!B14</f>
        <v>0</v>
      </c>
      <c r="N21" s="55">
        <f t="shared" ref="N21:N23" si="5">+M21*0.6</f>
        <v>0</v>
      </c>
    </row>
    <row r="22" spans="1:21" ht="17.149999999999999" customHeight="1" x14ac:dyDescent="0.4">
      <c r="A22" s="9" t="s">
        <v>109</v>
      </c>
      <c r="B22" s="52">
        <f>-Datos!H7</f>
        <v>-3510</v>
      </c>
      <c r="C22" s="35">
        <f>+ECONÓMICO!B10</f>
        <v>-2721.6</v>
      </c>
      <c r="D22" s="35">
        <f>+ECONÓMICO!C10</f>
        <v>-2916</v>
      </c>
      <c r="E22" s="35">
        <f>+ECONÓMICO!D10</f>
        <v>-3110.3999999999996</v>
      </c>
      <c r="F22" s="35">
        <f>+ECONÓMICO!E10</f>
        <v>-3304.7999999999993</v>
      </c>
      <c r="G22" s="70">
        <f>+ECONÓMICO!F10</f>
        <v>-3499.1999999999994</v>
      </c>
      <c r="H22" s="77">
        <f t="shared" ref="H22:H28" si="6">SUM(B22:G22)</f>
        <v>-19062</v>
      </c>
      <c r="I22" s="54">
        <f>-ECONÓMICO!G10</f>
        <v>5540.4</v>
      </c>
      <c r="L22" s="55" t="str">
        <f>+Datos!A15</f>
        <v>febrero</v>
      </c>
      <c r="M22" s="55">
        <f>+Datos!B15</f>
        <v>0</v>
      </c>
      <c r="N22" s="55">
        <f t="shared" si="5"/>
        <v>0</v>
      </c>
    </row>
    <row r="23" spans="1:21" ht="13.75" customHeight="1" x14ac:dyDescent="0.4">
      <c r="A23" s="9" t="s">
        <v>139</v>
      </c>
      <c r="B23" s="52"/>
      <c r="C23" s="35">
        <f>+ECONÓMICO!B12</f>
        <v>-700</v>
      </c>
      <c r="D23" s="35">
        <f>+ECONÓMICO!C12</f>
        <v>-700</v>
      </c>
      <c r="E23" s="35">
        <f>+ECONÓMICO!D12</f>
        <v>-700</v>
      </c>
      <c r="F23" s="35">
        <f>+ECONÓMICO!E12</f>
        <v>-700</v>
      </c>
      <c r="G23" s="70">
        <f>+ECONÓMICO!F12</f>
        <v>-700</v>
      </c>
      <c r="H23" s="77">
        <f t="shared" si="6"/>
        <v>-3500</v>
      </c>
      <c r="I23" s="54">
        <f>-ECONÓMICO!G12</f>
        <v>700</v>
      </c>
      <c r="J23" s="2" t="s">
        <v>142</v>
      </c>
      <c r="L23" s="55" t="str">
        <f>+Datos!A16</f>
        <v>marzo</v>
      </c>
      <c r="M23" s="55">
        <f>+Datos!B16</f>
        <v>0</v>
      </c>
      <c r="N23" s="55">
        <f t="shared" si="5"/>
        <v>0</v>
      </c>
    </row>
    <row r="24" spans="1:21" x14ac:dyDescent="0.4">
      <c r="A24" s="9" t="str">
        <f t="shared" ref="A24:A31" si="7">+"compro en "&amp;O9&amp;" para "&amp;P9&amp;" pagando 60% en "&amp;O9&amp;" y el 40% en "&amp;Q9</f>
        <v>compro en mayo para junio pagando 60% en mayo y el 40% en julio</v>
      </c>
      <c r="B24" s="52">
        <f>-N29*40%</f>
        <v>-28600</v>
      </c>
      <c r="C24" s="35"/>
      <c r="D24" s="70"/>
      <c r="E24" s="70"/>
      <c r="F24" s="70"/>
      <c r="G24" s="70"/>
      <c r="H24" s="77">
        <f>SUM(B24:G24)</f>
        <v>-28600</v>
      </c>
      <c r="I24" s="54"/>
      <c r="L24" s="55" t="str">
        <f>+Datos!A17</f>
        <v>abril</v>
      </c>
      <c r="M24" s="55" t="s">
        <v>14</v>
      </c>
      <c r="N24" s="55" t="s">
        <v>38</v>
      </c>
    </row>
    <row r="25" spans="1:21" x14ac:dyDescent="0.4">
      <c r="A25" s="9" t="str">
        <f t="shared" si="7"/>
        <v>compro en junio para julio pagando 60% en junio y el 40% en agosto</v>
      </c>
      <c r="B25" s="109"/>
      <c r="C25" s="98">
        <f>-N31*40%</f>
        <v>-33264</v>
      </c>
      <c r="D25" s="99"/>
      <c r="E25" s="99"/>
      <c r="F25" s="99"/>
      <c r="G25" s="99"/>
      <c r="H25" s="77">
        <f>SUM(B25:G25)</f>
        <v>-33264</v>
      </c>
      <c r="I25" s="100"/>
      <c r="L25" s="55"/>
      <c r="M25" s="55"/>
      <c r="N25" s="55"/>
    </row>
    <row r="26" spans="1:21" x14ac:dyDescent="0.4">
      <c r="A26" s="9" t="str">
        <f t="shared" si="7"/>
        <v>compro en julio para agosto pagando 60% en julio y el 40% en septiembre</v>
      </c>
      <c r="B26" s="52">
        <f>-$N32*60%</f>
        <v>-53460</v>
      </c>
      <c r="C26" s="35"/>
      <c r="D26" s="70">
        <f>-$N32*40%</f>
        <v>-35640</v>
      </c>
      <c r="E26" s="70"/>
      <c r="F26" s="70"/>
      <c r="G26" s="70"/>
      <c r="H26" s="110">
        <f>SUM(B26:G26)</f>
        <v>-89100</v>
      </c>
      <c r="I26" s="54"/>
      <c r="L26" s="55" t="str">
        <f>+Datos!A18</f>
        <v>mayo</v>
      </c>
      <c r="M26" s="55">
        <f>+Datos!B18</f>
        <v>108000</v>
      </c>
      <c r="N26" s="55">
        <f>+M26*$O$20</f>
        <v>59400.000000000007</v>
      </c>
    </row>
    <row r="27" spans="1:21" x14ac:dyDescent="0.4">
      <c r="A27" s="9" t="str">
        <f t="shared" si="7"/>
        <v>compro en agosto para septiembre pagando 60% en agosto y el 40% en octubre</v>
      </c>
      <c r="B27" s="52"/>
      <c r="C27" s="35">
        <f>-$N33*60%</f>
        <v>-57024.000000000007</v>
      </c>
      <c r="D27" s="35"/>
      <c r="E27" s="35">
        <f>-$N33*40%</f>
        <v>-38016.000000000007</v>
      </c>
      <c r="F27" s="35"/>
      <c r="G27" s="70"/>
      <c r="H27" s="77">
        <f t="shared" si="6"/>
        <v>-95040.000000000015</v>
      </c>
      <c r="I27" s="54"/>
      <c r="L27" s="55"/>
      <c r="M27" s="55"/>
      <c r="N27" s="55"/>
    </row>
    <row r="28" spans="1:21" x14ac:dyDescent="0.4">
      <c r="A28" s="9" t="str">
        <f t="shared" si="7"/>
        <v>compro en septiembre para octubre pagando 60% en septiembre y el 40% en noviembre</v>
      </c>
      <c r="B28" s="52"/>
      <c r="C28" s="35"/>
      <c r="D28" s="35">
        <f>-$N34*60%</f>
        <v>-60588.000000000007</v>
      </c>
      <c r="E28" s="35"/>
      <c r="F28" s="35">
        <f>-$N34*40%</f>
        <v>-40392.000000000007</v>
      </c>
      <c r="G28" s="70"/>
      <c r="H28" s="77">
        <f t="shared" si="6"/>
        <v>-100980.00000000001</v>
      </c>
      <c r="I28" s="54"/>
      <c r="L28" s="55"/>
      <c r="M28" s="55"/>
      <c r="N28" s="55"/>
    </row>
    <row r="29" spans="1:21" x14ac:dyDescent="0.4">
      <c r="A29" s="9" t="str">
        <f t="shared" si="7"/>
        <v>compro en octubre para noviembre pagando 60% en octubre y el 40% en diciembre</v>
      </c>
      <c r="B29" s="52"/>
      <c r="C29" s="35"/>
      <c r="D29" s="70"/>
      <c r="E29" s="70">
        <f>-$N35*60%</f>
        <v>-64152.000000000007</v>
      </c>
      <c r="F29" s="70"/>
      <c r="G29" s="70">
        <f>-$N35*40%</f>
        <v>-42768.000000000007</v>
      </c>
      <c r="H29" s="77">
        <f t="shared" ref="H29:H31" si="8">SUM(B29:G29)</f>
        <v>-106920.00000000001</v>
      </c>
      <c r="I29" s="54"/>
      <c r="L29" s="55" t="str">
        <f>+Datos!A19</f>
        <v>junio</v>
      </c>
      <c r="M29" s="55">
        <f>+Datos!B19</f>
        <v>130000</v>
      </c>
      <c r="N29" s="55">
        <f t="shared" ref="N29:N37" si="9">+M29*$O$20</f>
        <v>71500</v>
      </c>
    </row>
    <row r="30" spans="1:21" x14ac:dyDescent="0.4">
      <c r="A30" s="9" t="str">
        <f t="shared" si="7"/>
        <v>compro en noviembre para diciembre pagando 60% en noviembre y el 40% en enero</v>
      </c>
      <c r="B30" s="52"/>
      <c r="C30" s="35"/>
      <c r="D30" s="35"/>
      <c r="E30" s="70"/>
      <c r="F30" s="70">
        <f>-$N36*60%</f>
        <v>-67716</v>
      </c>
      <c r="G30" s="70"/>
      <c r="H30" s="77">
        <f t="shared" si="8"/>
        <v>-67716</v>
      </c>
      <c r="I30" s="54">
        <f>$N36*40%</f>
        <v>45144.000000000007</v>
      </c>
      <c r="J30" s="6" t="s">
        <v>138</v>
      </c>
      <c r="L30" s="55"/>
      <c r="M30" s="55"/>
      <c r="N30" s="55">
        <f t="shared" si="9"/>
        <v>0</v>
      </c>
    </row>
    <row r="31" spans="1:21" x14ac:dyDescent="0.4">
      <c r="A31" s="9" t="str">
        <f t="shared" si="7"/>
        <v>compro en diciembre para enero pagando 60% en diciembre y el 40% en febrero</v>
      </c>
      <c r="B31" s="52"/>
      <c r="C31" s="35"/>
      <c r="D31" s="70"/>
      <c r="E31" s="35"/>
      <c r="F31" s="70"/>
      <c r="G31" s="70">
        <f>-$N37*60%</f>
        <v>-71280</v>
      </c>
      <c r="H31" s="110">
        <f t="shared" si="8"/>
        <v>-71280</v>
      </c>
      <c r="I31" s="54">
        <f>$N37*40%</f>
        <v>47520.000000000007</v>
      </c>
      <c r="J31" s="6" t="s">
        <v>138</v>
      </c>
      <c r="L31" s="55" t="str">
        <f>+Datos!G12</f>
        <v>julio</v>
      </c>
      <c r="M31" s="55">
        <f>+Datos!H12</f>
        <v>151200</v>
      </c>
      <c r="N31" s="55">
        <f t="shared" si="9"/>
        <v>83160</v>
      </c>
    </row>
    <row r="32" spans="1:21" ht="16.3" customHeight="1" x14ac:dyDescent="0.4">
      <c r="A32" s="9" t="s">
        <v>132</v>
      </c>
      <c r="B32" s="52"/>
      <c r="C32" s="35"/>
      <c r="D32" s="35"/>
      <c r="E32" s="70">
        <f>-E15</f>
        <v>-22000</v>
      </c>
      <c r="F32" s="35"/>
      <c r="G32" s="70"/>
      <c r="H32" s="77">
        <f t="shared" ref="H32:H37" si="10">SUM(B32:G32)</f>
        <v>-22000</v>
      </c>
      <c r="I32" s="54"/>
      <c r="J32" s="6"/>
      <c r="L32" s="55" t="str">
        <f>+Datos!G13</f>
        <v>agosto</v>
      </c>
      <c r="M32" s="55">
        <f>+Datos!H13</f>
        <v>162000</v>
      </c>
      <c r="N32" s="55">
        <f t="shared" si="9"/>
        <v>89100</v>
      </c>
    </row>
    <row r="33" spans="1:14" ht="21.55" customHeight="1" x14ac:dyDescent="0.4">
      <c r="A33" s="9" t="s">
        <v>136</v>
      </c>
      <c r="B33" s="52"/>
      <c r="C33" s="35"/>
      <c r="D33" s="35"/>
      <c r="E33" s="35"/>
      <c r="F33" s="70">
        <f>-22000*1.1/4</f>
        <v>-6050.0000000000009</v>
      </c>
      <c r="G33" s="35">
        <f>-22000*1.1/4</f>
        <v>-6050.0000000000009</v>
      </c>
      <c r="H33" s="77">
        <f t="shared" si="10"/>
        <v>-12100.000000000002</v>
      </c>
      <c r="I33" s="54">
        <f>-G33*2</f>
        <v>12100.000000000002</v>
      </c>
      <c r="J33" s="6" t="s">
        <v>137</v>
      </c>
      <c r="L33" s="55" t="str">
        <f>+Datos!G14</f>
        <v>septiembre</v>
      </c>
      <c r="M33" s="55">
        <f>+Datos!H14</f>
        <v>172800</v>
      </c>
      <c r="N33" s="55">
        <f t="shared" si="9"/>
        <v>95040.000000000015</v>
      </c>
    </row>
    <row r="34" spans="1:14" x14ac:dyDescent="0.4">
      <c r="A34" s="114" t="s">
        <v>143</v>
      </c>
      <c r="B34" s="115"/>
      <c r="C34" s="116"/>
      <c r="D34" s="117"/>
      <c r="E34" s="116"/>
      <c r="F34" s="116"/>
      <c r="G34" s="117">
        <f>-G12</f>
        <v>-128519.99999999999</v>
      </c>
      <c r="H34" s="121">
        <f t="shared" si="10"/>
        <v>-128519.99999999999</v>
      </c>
      <c r="I34" s="54"/>
      <c r="L34" s="55" t="str">
        <f>+Datos!G15</f>
        <v>octubre</v>
      </c>
      <c r="M34" s="55">
        <f>+Datos!H15</f>
        <v>183600</v>
      </c>
      <c r="N34" s="55">
        <f t="shared" si="9"/>
        <v>100980.00000000001</v>
      </c>
    </row>
    <row r="35" spans="1:14" x14ac:dyDescent="0.4">
      <c r="A35" s="9" t="s">
        <v>167</v>
      </c>
      <c r="B35" s="52"/>
      <c r="C35" s="35"/>
      <c r="D35" s="70">
        <v>-120000</v>
      </c>
      <c r="E35" s="70"/>
      <c r="F35" s="70"/>
      <c r="G35" s="35"/>
      <c r="H35" s="77">
        <f t="shared" si="10"/>
        <v>-120000</v>
      </c>
      <c r="I35" s="54"/>
      <c r="J35" s="6"/>
      <c r="L35" s="55" t="str">
        <f>+Datos!G16</f>
        <v>noviembre</v>
      </c>
      <c r="M35" s="55">
        <f>+Datos!H16</f>
        <v>194400</v>
      </c>
      <c r="N35" s="55">
        <f t="shared" si="9"/>
        <v>106920.00000000001</v>
      </c>
    </row>
    <row r="36" spans="1:14" x14ac:dyDescent="0.4">
      <c r="A36" s="9"/>
      <c r="B36" s="20"/>
      <c r="C36" s="21"/>
      <c r="D36" s="66"/>
      <c r="E36" s="66"/>
      <c r="F36" s="66"/>
      <c r="G36" s="66"/>
      <c r="H36" s="77">
        <f t="shared" si="10"/>
        <v>0</v>
      </c>
      <c r="I36" s="23"/>
      <c r="J36" s="6"/>
      <c r="L36" s="55" t="str">
        <f>+Datos!G17</f>
        <v>diciembre</v>
      </c>
      <c r="M36" s="55">
        <f>+Datos!H17</f>
        <v>205200</v>
      </c>
      <c r="N36" s="55">
        <f t="shared" si="9"/>
        <v>112860.00000000001</v>
      </c>
    </row>
    <row r="37" spans="1:14" ht="15" thickBot="1" x14ac:dyDescent="0.45">
      <c r="A37" s="9"/>
      <c r="B37" s="36"/>
      <c r="C37" s="37"/>
      <c r="D37" s="68"/>
      <c r="E37" s="68"/>
      <c r="F37" s="68"/>
      <c r="G37" s="38"/>
      <c r="H37" s="78">
        <f t="shared" si="10"/>
        <v>0</v>
      </c>
      <c r="I37" s="73"/>
      <c r="K37" s="2" t="s">
        <v>49</v>
      </c>
      <c r="L37" s="2" t="s">
        <v>20</v>
      </c>
      <c r="M37" s="55">
        <f>+Datos!H18</f>
        <v>216000</v>
      </c>
      <c r="N37" s="55">
        <f t="shared" si="9"/>
        <v>118800.00000000001</v>
      </c>
    </row>
    <row r="38" spans="1:14" ht="15" thickBot="1" x14ac:dyDescent="0.45">
      <c r="A38" s="111" t="s">
        <v>46</v>
      </c>
      <c r="B38" s="24">
        <f t="shared" ref="B38:H38" si="11">SUM(B21:B37)</f>
        <v>-86370</v>
      </c>
      <c r="C38" s="25">
        <f t="shared" si="11"/>
        <v>-94509.6</v>
      </c>
      <c r="D38" s="67">
        <f t="shared" si="11"/>
        <v>-220644</v>
      </c>
      <c r="E38" s="67">
        <f t="shared" si="11"/>
        <v>-128778.40000000002</v>
      </c>
      <c r="F38" s="67">
        <f t="shared" si="11"/>
        <v>-119162.8</v>
      </c>
      <c r="G38" s="26">
        <f t="shared" si="11"/>
        <v>-253817.2</v>
      </c>
      <c r="H38" s="26">
        <f t="shared" si="11"/>
        <v>-903282</v>
      </c>
      <c r="I38" s="51"/>
      <c r="M38" s="55"/>
      <c r="N38" s="55"/>
    </row>
    <row r="39" spans="1:14" ht="20.25" customHeight="1" thickBot="1" x14ac:dyDescent="0.45">
      <c r="A39" s="111" t="s">
        <v>80</v>
      </c>
      <c r="B39" s="32">
        <f t="shared" ref="B39:H39" si="12">+B19+B38</f>
        <v>108230</v>
      </c>
      <c r="C39" s="33">
        <f t="shared" si="12"/>
        <v>41850.399999999994</v>
      </c>
      <c r="D39" s="69">
        <f t="shared" si="12"/>
        <v>-65084</v>
      </c>
      <c r="E39" s="69">
        <f t="shared" si="12"/>
        <v>59581.599999999977</v>
      </c>
      <c r="F39" s="69">
        <f t="shared" si="12"/>
        <v>68767.199999999997</v>
      </c>
      <c r="G39" s="34">
        <f t="shared" si="12"/>
        <v>-65857.200000000012</v>
      </c>
      <c r="H39" s="34">
        <f t="shared" si="12"/>
        <v>147488</v>
      </c>
      <c r="I39" s="51">
        <f>SUM(I21:I37)</f>
        <v>112004.40000000002</v>
      </c>
    </row>
    <row r="40" spans="1:14" ht="20.25" customHeight="1" thickBot="1" x14ac:dyDescent="0.45">
      <c r="A40" s="111" t="s">
        <v>77</v>
      </c>
      <c r="B40" s="32">
        <f>+B39</f>
        <v>108230</v>
      </c>
      <c r="C40" s="33">
        <f>+C39+B40</f>
        <v>150080.4</v>
      </c>
      <c r="D40" s="69">
        <f t="shared" ref="D40:G40" si="13">+D39+C40</f>
        <v>84996.4</v>
      </c>
      <c r="E40" s="69">
        <f t="shared" si="13"/>
        <v>144577.99999999997</v>
      </c>
      <c r="F40" s="69">
        <f>+F39+E40</f>
        <v>213345.19999999995</v>
      </c>
      <c r="G40" s="34">
        <f t="shared" si="13"/>
        <v>147487.99999999994</v>
      </c>
      <c r="H40" s="26"/>
      <c r="I40" s="51"/>
    </row>
    <row r="41" spans="1:14" ht="20.25" customHeight="1" x14ac:dyDescent="0.4"/>
    <row r="42" spans="1:14" ht="28.3" customHeight="1" x14ac:dyDescent="0.4">
      <c r="E42" s="2" t="s">
        <v>126</v>
      </c>
      <c r="J42" s="6"/>
    </row>
    <row r="43" spans="1:14" ht="28.3" customHeight="1" x14ac:dyDescent="0.4">
      <c r="J43" s="6"/>
    </row>
    <row r="44" spans="1:14" ht="28.3" customHeight="1" x14ac:dyDescent="0.4">
      <c r="J44" s="6"/>
    </row>
    <row r="45" spans="1:14" x14ac:dyDescent="0.4">
      <c r="B45" s="2" t="s">
        <v>78</v>
      </c>
      <c r="C45" s="55">
        <f>SUM(B29:C30)</f>
        <v>0</v>
      </c>
      <c r="D45" s="6" t="s">
        <v>90</v>
      </c>
      <c r="J45" s="6"/>
    </row>
    <row r="46" spans="1:14" x14ac:dyDescent="0.4">
      <c r="J46" s="6"/>
    </row>
  </sheetData>
  <mergeCells count="8">
    <mergeCell ref="A4:I4"/>
    <mergeCell ref="A20:I20"/>
    <mergeCell ref="M1:R1"/>
    <mergeCell ref="I2:I3"/>
    <mergeCell ref="A1:I1"/>
    <mergeCell ref="A2:A3"/>
    <mergeCell ref="B2:G2"/>
    <mergeCell ref="H2:H3"/>
  </mergeCells>
  <phoneticPr fontId="4" type="noConversion"/>
  <pageMargins left="0.25" right="0.25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8ACF-C40C-40B5-A45D-D539566CF32B}">
  <dimension ref="A1:L27"/>
  <sheetViews>
    <sheetView showGridLines="0" tabSelected="1" zoomScale="81" zoomScaleNormal="78" workbookViewId="0">
      <selection activeCell="B5" sqref="B5"/>
    </sheetView>
  </sheetViews>
  <sheetFormatPr baseColWidth="10" defaultRowHeight="14.6" x14ac:dyDescent="0.4"/>
  <cols>
    <col min="1" max="1" width="23.921875" style="57" customWidth="1"/>
    <col min="2" max="2" width="14.53515625" style="57" customWidth="1"/>
    <col min="3" max="3" width="11.07421875" style="57"/>
    <col min="4" max="4" width="26.84375" style="57" customWidth="1"/>
    <col min="5" max="5" width="13.3046875" style="57" customWidth="1"/>
    <col min="6" max="6" width="11.53515625" style="57" bestFit="1" customWidth="1"/>
    <col min="7" max="7" width="11.07421875" style="57"/>
    <col min="8" max="8" width="18.23046875" style="57" customWidth="1"/>
    <col min="9" max="9" width="32.07421875" style="57" customWidth="1"/>
    <col min="10" max="10" width="3.61328125" style="57" customWidth="1"/>
    <col min="11" max="11" width="11.53515625" style="57" bestFit="1" customWidth="1"/>
    <col min="12" max="16384" width="11.07421875" style="57"/>
  </cols>
  <sheetData>
    <row r="1" spans="1:12" ht="37.299999999999997" customHeight="1" x14ac:dyDescent="0.5">
      <c r="A1" s="145" t="s">
        <v>73</v>
      </c>
      <c r="B1" s="145"/>
      <c r="C1" s="145"/>
      <c r="D1" s="145"/>
      <c r="E1" s="145"/>
      <c r="I1" s="57">
        <f>2000+12000+500+6000</f>
        <v>20500</v>
      </c>
    </row>
    <row r="2" spans="1:12" ht="23.15" customHeight="1" x14ac:dyDescent="0.4">
      <c r="A2" s="56" t="s">
        <v>9</v>
      </c>
      <c r="D2" s="56" t="s">
        <v>12</v>
      </c>
      <c r="I2" s="56" t="s">
        <v>52</v>
      </c>
    </row>
    <row r="3" spans="1:12" x14ac:dyDescent="0.4">
      <c r="A3" s="57" t="s">
        <v>10</v>
      </c>
      <c r="B3" s="123">
        <f>+FINANCIERO!H39</f>
        <v>147488</v>
      </c>
      <c r="D3" s="56" t="s">
        <v>54</v>
      </c>
      <c r="I3" s="56" t="s">
        <v>48</v>
      </c>
      <c r="J3" s="56"/>
      <c r="K3" s="57">
        <f>+Datos!B5</f>
        <v>97520</v>
      </c>
      <c r="L3" s="56" t="s">
        <v>53</v>
      </c>
    </row>
    <row r="4" spans="1:12" x14ac:dyDescent="0.4">
      <c r="A4" s="57" t="s">
        <v>70</v>
      </c>
      <c r="B4" s="57">
        <f>+FINANCIERO!I13+FINANCIERO!I14+Datos!D4</f>
        <v>356280</v>
      </c>
      <c r="D4" s="57" t="s">
        <v>101</v>
      </c>
      <c r="E4" s="57">
        <f>+FINANCIERO!I23</f>
        <v>700</v>
      </c>
      <c r="I4" s="57" t="s">
        <v>94</v>
      </c>
      <c r="K4" s="58">
        <f>-FINANCIERO!U11</f>
        <v>-83160</v>
      </c>
    </row>
    <row r="5" spans="1:12" x14ac:dyDescent="0.4">
      <c r="A5" s="57" t="s">
        <v>11</v>
      </c>
      <c r="B5" s="123">
        <f>+K9</f>
        <v>118800.00000000001</v>
      </c>
      <c r="D5" s="57" t="s">
        <v>102</v>
      </c>
      <c r="E5" s="57">
        <v>0</v>
      </c>
      <c r="I5" s="57" t="s">
        <v>95</v>
      </c>
      <c r="K5" s="57">
        <f>+K3+K4</f>
        <v>14360</v>
      </c>
    </row>
    <row r="6" spans="1:12" x14ac:dyDescent="0.4">
      <c r="A6" s="57" t="s">
        <v>83</v>
      </c>
      <c r="B6" s="123">
        <f>+ECONÓMICO!B29-ECONÓMICO!E28</f>
        <v>19200</v>
      </c>
      <c r="D6" s="57" t="s">
        <v>100</v>
      </c>
      <c r="E6" s="57">
        <f>+FINANCIERO!I33</f>
        <v>12100.000000000002</v>
      </c>
      <c r="I6" s="57" t="s">
        <v>160</v>
      </c>
      <c r="K6" s="58">
        <f>-K5</f>
        <v>-14360</v>
      </c>
    </row>
    <row r="7" spans="1:12" x14ac:dyDescent="0.4">
      <c r="A7" s="57" t="s">
        <v>96</v>
      </c>
      <c r="B7" s="123">
        <f>+ECONÓMICO!B30-ECONÓMICO!E29+ECONÓMICO!H16</f>
        <v>-3840</v>
      </c>
      <c r="D7" s="57" t="s">
        <v>79</v>
      </c>
      <c r="E7" s="57">
        <f>+FINANCIERO!I21</f>
        <v>1000</v>
      </c>
      <c r="J7" s="59"/>
      <c r="K7" s="57">
        <f>+K6+K5</f>
        <v>0</v>
      </c>
    </row>
    <row r="8" spans="1:12" ht="15" thickBot="1" x14ac:dyDescent="0.45">
      <c r="A8" s="57" t="s">
        <v>162</v>
      </c>
      <c r="B8" s="123">
        <v>120000</v>
      </c>
      <c r="D8" s="57" t="s">
        <v>13</v>
      </c>
      <c r="E8" s="123">
        <f>+I19</f>
        <v>104216.00000000001</v>
      </c>
      <c r="I8" s="57" t="s">
        <v>161</v>
      </c>
      <c r="K8" s="58">
        <f>+FINANCIERO!N37</f>
        <v>118800.00000000001</v>
      </c>
    </row>
    <row r="9" spans="1:12" ht="15" thickBot="1" x14ac:dyDescent="0.45">
      <c r="A9" s="57" t="s">
        <v>150</v>
      </c>
      <c r="B9" s="123">
        <f>+ECONÓMICO!H18</f>
        <v>-4000</v>
      </c>
      <c r="D9" s="57" t="s">
        <v>127</v>
      </c>
      <c r="E9" s="58">
        <f>+FINANCIERO!I22</f>
        <v>5540.4</v>
      </c>
      <c r="K9" s="60">
        <f>+K8+K7</f>
        <v>118800.00000000001</v>
      </c>
    </row>
    <row r="10" spans="1:12" x14ac:dyDescent="0.4">
      <c r="A10" s="57" t="s">
        <v>97</v>
      </c>
      <c r="B10" s="123">
        <f>+Datos!B8</f>
        <v>240000</v>
      </c>
      <c r="D10" s="61" t="s">
        <v>59</v>
      </c>
      <c r="E10" s="61">
        <f>SUM(E4:E9)</f>
        <v>123556.40000000001</v>
      </c>
      <c r="J10" s="59"/>
    </row>
    <row r="11" spans="1:12" x14ac:dyDescent="0.4">
      <c r="A11" s="57" t="s">
        <v>98</v>
      </c>
      <c r="B11" s="123">
        <f>+ECONÓMICO!H19+Datos!B9</f>
        <v>-42400</v>
      </c>
    </row>
    <row r="12" spans="1:12" x14ac:dyDescent="0.4">
      <c r="A12" s="57" t="s">
        <v>99</v>
      </c>
      <c r="B12" s="57">
        <v>0</v>
      </c>
      <c r="D12" s="56" t="s">
        <v>55</v>
      </c>
    </row>
    <row r="13" spans="1:12" x14ac:dyDescent="0.4">
      <c r="A13" s="57" t="s">
        <v>168</v>
      </c>
      <c r="B13" s="125">
        <f>+FINANCIERO!I16</f>
        <v>1120</v>
      </c>
      <c r="D13" s="57" t="s">
        <v>56</v>
      </c>
      <c r="E13" s="57">
        <f>+Datos!H8</f>
        <v>461074</v>
      </c>
      <c r="H13" s="59" t="s">
        <v>169</v>
      </c>
      <c r="I13" s="101">
        <f>+Datos!H6</f>
        <v>73416</v>
      </c>
    </row>
    <row r="14" spans="1:12" x14ac:dyDescent="0.4">
      <c r="A14" s="61" t="s">
        <v>60</v>
      </c>
      <c r="B14" s="61">
        <f>SUM(B3:B13)</f>
        <v>952648</v>
      </c>
      <c r="D14" s="58" t="s">
        <v>57</v>
      </c>
      <c r="E14" s="58">
        <f>+ECONÓMICO!H23</f>
        <v>368017.59999999992</v>
      </c>
      <c r="H14" s="59" t="s">
        <v>170</v>
      </c>
      <c r="I14" s="101">
        <f>+FINANCIERO!B24</f>
        <v>-28600</v>
      </c>
    </row>
    <row r="15" spans="1:12" ht="15" thickBot="1" x14ac:dyDescent="0.45">
      <c r="D15" s="61" t="s">
        <v>61</v>
      </c>
      <c r="E15" s="61">
        <f>SUM(E13:E14)</f>
        <v>829091.59999999986</v>
      </c>
      <c r="H15" s="59" t="s">
        <v>171</v>
      </c>
      <c r="I15" s="101">
        <f>+FINANCIERO!C25</f>
        <v>-33264</v>
      </c>
    </row>
    <row r="16" spans="1:12" x14ac:dyDescent="0.4">
      <c r="A16" s="141" t="str">
        <f>IF(B14=E17,"Activo = Pasivo+PN","hay errores")</f>
        <v>Activo = Pasivo+PN</v>
      </c>
      <c r="B16" s="142"/>
      <c r="C16" s="62"/>
      <c r="H16" s="57" t="s">
        <v>172</v>
      </c>
      <c r="I16" s="124">
        <f>SUM(I13:I15)</f>
        <v>11552</v>
      </c>
    </row>
    <row r="17" spans="1:9" ht="15" thickBot="1" x14ac:dyDescent="0.45">
      <c r="A17" s="143"/>
      <c r="B17" s="144"/>
      <c r="D17" s="61" t="s">
        <v>62</v>
      </c>
      <c r="E17" s="61">
        <f>+E15+E10</f>
        <v>952647.99999999988</v>
      </c>
      <c r="H17" s="59" t="s">
        <v>173</v>
      </c>
      <c r="I17" s="101">
        <f>+FINANCIERO!I30</f>
        <v>45144.000000000007</v>
      </c>
    </row>
    <row r="18" spans="1:9" x14ac:dyDescent="0.4">
      <c r="C18" s="63"/>
      <c r="H18" s="59" t="s">
        <v>174</v>
      </c>
      <c r="I18" s="101">
        <f>+FINANCIERO!I31</f>
        <v>47520.000000000007</v>
      </c>
    </row>
    <row r="19" spans="1:9" x14ac:dyDescent="0.4">
      <c r="B19" s="57">
        <f>+B14-E17</f>
        <v>0</v>
      </c>
      <c r="C19" s="63"/>
      <c r="I19" s="124">
        <f>SUM(I16:I18)</f>
        <v>104216.00000000001</v>
      </c>
    </row>
    <row r="20" spans="1:9" x14ac:dyDescent="0.4">
      <c r="F20" s="13"/>
    </row>
    <row r="21" spans="1:9" x14ac:dyDescent="0.4">
      <c r="E21" s="63"/>
    </row>
    <row r="22" spans="1:9" x14ac:dyDescent="0.4">
      <c r="E22" s="63"/>
    </row>
    <row r="24" spans="1:9" x14ac:dyDescent="0.4">
      <c r="A24" s="61"/>
      <c r="C24" s="62"/>
    </row>
    <row r="25" spans="1:9" ht="18.45" x14ac:dyDescent="0.4">
      <c r="A25" s="103" t="s">
        <v>103</v>
      </c>
      <c r="B25" s="103" t="s">
        <v>104</v>
      </c>
    </row>
    <row r="26" spans="1:9" ht="18.45" x14ac:dyDescent="0.4">
      <c r="A26" s="103"/>
      <c r="B26" s="103" t="s">
        <v>105</v>
      </c>
    </row>
    <row r="27" spans="1:9" x14ac:dyDescent="0.4">
      <c r="B27" s="57" t="s">
        <v>106</v>
      </c>
    </row>
  </sheetData>
  <mergeCells count="2">
    <mergeCell ref="A16:B17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ECONÓMICO</vt:lpstr>
      <vt:lpstr>FINANCIERO</vt:lpstr>
      <vt:lpstr>Pasivo + 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cp:lastPrinted>2025-07-02T23:15:01Z</cp:lastPrinted>
  <dcterms:created xsi:type="dcterms:W3CDTF">2025-06-28T17:14:30Z</dcterms:created>
  <dcterms:modified xsi:type="dcterms:W3CDTF">2025-07-29T00:37:23Z</dcterms:modified>
</cp:coreProperties>
</file>